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sabo\Desktop\"/>
    </mc:Choice>
  </mc:AlternateContent>
  <xr:revisionPtr revIDLastSave="0" documentId="8_{E1C7F4DC-5583-4147-9349-030B30315D19}" xr6:coauthVersionLast="47" xr6:coauthVersionMax="47" xr10:uidLastSave="{00000000-0000-0000-0000-000000000000}"/>
  <bookViews>
    <workbookView xWindow="6465" yWindow="2130" windowWidth="21600" windowHeight="11715" firstSheet="5" activeTab="8" xr2:uid="{00000000-000D-0000-FFFF-FFFF00000000}"/>
  </bookViews>
  <sheets>
    <sheet name="Budget oversigt" sheetId="1" r:id="rId1"/>
    <sheet name="Indtægter" sheetId="2" r:id="rId2"/>
    <sheet name="Kontingent" sheetId="17" r:id="rId3"/>
    <sheet name="Medlemstal" sheetId="18" r:id="rId4"/>
    <sheet name="Lønomkostninger" sheetId="3" r:id="rId5"/>
    <sheet name="Møder-, kursusudgifter" sheetId="4" r:id="rId6"/>
    <sheet name="Adm.omk." sheetId="5" r:id="rId7"/>
    <sheet name="Ejendomsudg." sheetId="7" r:id="rId8"/>
    <sheet name="Finansielle poster" sheetId="8" r:id="rId9"/>
    <sheet name="Løn m.m. 2026" sheetId="12" state="hidden" r:id="rId10"/>
    <sheet name="Skat" sheetId="15" state="hidden" r:id="rId11"/>
    <sheet name="Skat II" sheetId="16" state="hidden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4" l="1"/>
  <c r="J10" i="2"/>
  <c r="B51" i="17"/>
  <c r="B50" i="17"/>
  <c r="I17" i="7"/>
  <c r="I13" i="7"/>
  <c r="I10" i="7"/>
  <c r="J21" i="5"/>
  <c r="J18" i="5"/>
  <c r="J16" i="5"/>
  <c r="J14" i="5"/>
  <c r="J13" i="5"/>
  <c r="J10" i="5"/>
  <c r="J29" i="3"/>
  <c r="J25" i="3"/>
  <c r="J23" i="3"/>
  <c r="D34" i="4" l="1"/>
  <c r="C27" i="1" s="1"/>
  <c r="H10" i="16"/>
  <c r="G10" i="16"/>
  <c r="E10" i="16"/>
  <c r="H9" i="16"/>
  <c r="H8" i="16"/>
  <c r="H7" i="16"/>
  <c r="H6" i="16"/>
  <c r="H5" i="16"/>
  <c r="G241" i="15"/>
  <c r="G233" i="15"/>
  <c r="G219" i="15"/>
  <c r="G217" i="15"/>
  <c r="G215" i="15"/>
  <c r="G212" i="15"/>
  <c r="G211" i="15"/>
  <c r="G207" i="15"/>
  <c r="I189" i="15"/>
  <c r="I188" i="15"/>
  <c r="I185" i="15"/>
  <c r="E183" i="15"/>
  <c r="E181" i="15"/>
  <c r="I179" i="15"/>
  <c r="I178" i="15"/>
  <c r="I177" i="15"/>
  <c r="I176" i="15"/>
  <c r="I175" i="15"/>
  <c r="I174" i="15"/>
  <c r="E170" i="15"/>
  <c r="I168" i="15"/>
  <c r="I167" i="15"/>
  <c r="I166" i="15"/>
  <c r="I165" i="15"/>
  <c r="I164" i="15"/>
  <c r="I162" i="15"/>
  <c r="I116" i="15"/>
  <c r="I190" i="15" s="1"/>
  <c r="I191" i="15" s="1"/>
  <c r="I16" i="15" s="1"/>
  <c r="I112" i="15"/>
  <c r="I110" i="15"/>
  <c r="I108" i="15"/>
  <c r="I84" i="15"/>
  <c r="G82" i="15"/>
  <c r="I78" i="15"/>
  <c r="G76" i="15"/>
  <c r="I70" i="15"/>
  <c r="I66" i="15"/>
  <c r="G64" i="15"/>
  <c r="I59" i="15"/>
  <c r="I26" i="15"/>
  <c r="G11" i="15"/>
  <c r="G18" i="12"/>
  <c r="G17" i="12"/>
  <c r="S17" i="12" s="1"/>
  <c r="G16" i="12"/>
  <c r="G15" i="12"/>
  <c r="S15" i="12" s="1"/>
  <c r="G14" i="12"/>
  <c r="S14" i="12" s="1"/>
  <c r="G13" i="12"/>
  <c r="G12" i="12"/>
  <c r="S11" i="12"/>
  <c r="G11" i="12"/>
  <c r="H11" i="12" s="1"/>
  <c r="S10" i="12"/>
  <c r="H10" i="12"/>
  <c r="G10" i="12"/>
  <c r="G9" i="12"/>
  <c r="G8" i="12"/>
  <c r="H7" i="12"/>
  <c r="G7" i="12"/>
  <c r="G6" i="12"/>
  <c r="G5" i="12"/>
  <c r="S5" i="12" s="1"/>
  <c r="A1" i="12"/>
  <c r="J6" i="8"/>
  <c r="I19" i="1" s="1"/>
  <c r="H6" i="8"/>
  <c r="G19" i="1" s="1"/>
  <c r="F6" i="8"/>
  <c r="D6" i="8"/>
  <c r="C19" i="1" s="1"/>
  <c r="H4" i="8"/>
  <c r="F4" i="8"/>
  <c r="D4" i="8"/>
  <c r="A1" i="8"/>
  <c r="I6" i="7"/>
  <c r="I11" i="1" s="1"/>
  <c r="G6" i="7"/>
  <c r="G11" i="1" s="1"/>
  <c r="E6" i="7"/>
  <c r="E11" i="1" s="1"/>
  <c r="C6" i="7"/>
  <c r="C11" i="1" s="1"/>
  <c r="I4" i="7"/>
  <c r="G4" i="7"/>
  <c r="E4" i="7"/>
  <c r="C4" i="7"/>
  <c r="B1" i="7"/>
  <c r="J7" i="5"/>
  <c r="H7" i="5"/>
  <c r="G10" i="1" s="1"/>
  <c r="F7" i="5"/>
  <c r="F5" i="5" s="1"/>
  <c r="D7" i="5"/>
  <c r="D5" i="5" s="1"/>
  <c r="J3" i="5"/>
  <c r="H3" i="5"/>
  <c r="F3" i="5"/>
  <c r="D3" i="5"/>
  <c r="B1" i="5"/>
  <c r="J34" i="4"/>
  <c r="I27" i="1" s="1"/>
  <c r="H34" i="4"/>
  <c r="G27" i="1" s="1"/>
  <c r="F34" i="4"/>
  <c r="E27" i="1" s="1"/>
  <c r="H17" i="4"/>
  <c r="F17" i="4"/>
  <c r="D17" i="4"/>
  <c r="J11" i="4"/>
  <c r="H11" i="4"/>
  <c r="F11" i="4"/>
  <c r="D11" i="4"/>
  <c r="J3" i="4"/>
  <c r="H3" i="4"/>
  <c r="F3" i="4"/>
  <c r="D3" i="4"/>
  <c r="B1" i="4"/>
  <c r="H18" i="3"/>
  <c r="H6" i="3" s="1"/>
  <c r="G8" i="1" s="1"/>
  <c r="F18" i="3"/>
  <c r="F6" i="3" s="1"/>
  <c r="E8" i="1" s="1"/>
  <c r="D18" i="3"/>
  <c r="D6" i="3" s="1"/>
  <c r="C8" i="1" s="1"/>
  <c r="J4" i="3"/>
  <c r="H4" i="3"/>
  <c r="F4" i="3"/>
  <c r="D4" i="3"/>
  <c r="B1" i="3"/>
  <c r="C34" i="17"/>
  <c r="C33" i="17"/>
  <c r="C32" i="17"/>
  <c r="C28" i="17"/>
  <c r="C27" i="17"/>
  <c r="C26" i="17"/>
  <c r="C10" i="17"/>
  <c r="C12" i="17" s="1"/>
  <c r="C14" i="17" s="1"/>
  <c r="C18" i="17" s="1"/>
  <c r="C20" i="17" s="1"/>
  <c r="F29" i="2"/>
  <c r="F31" i="2" s="1"/>
  <c r="D29" i="2"/>
  <c r="D31" i="2" s="1"/>
  <c r="J16" i="2"/>
  <c r="I4" i="1" s="1"/>
  <c r="H16" i="2"/>
  <c r="G4" i="1" s="1"/>
  <c r="F16" i="2"/>
  <c r="E4" i="1" s="1"/>
  <c r="D16" i="2"/>
  <c r="C4" i="1" s="1"/>
  <c r="H8" i="2"/>
  <c r="F8" i="2"/>
  <c r="E3" i="1" s="1"/>
  <c r="D8" i="2"/>
  <c r="J4" i="2"/>
  <c r="J4" i="8" s="1"/>
  <c r="H4" i="2"/>
  <c r="F4" i="2"/>
  <c r="D4" i="2"/>
  <c r="A1" i="2"/>
  <c r="I22" i="1"/>
  <c r="G22" i="1"/>
  <c r="E22" i="1"/>
  <c r="C22" i="1"/>
  <c r="E19" i="1"/>
  <c r="I16" i="1"/>
  <c r="G16" i="1"/>
  <c r="E16" i="1"/>
  <c r="C16" i="1"/>
  <c r="I118" i="15" l="1"/>
  <c r="G220" i="15" s="1"/>
  <c r="E118" i="15"/>
  <c r="D6" i="2"/>
  <c r="H5" i="5"/>
  <c r="H7" i="4"/>
  <c r="G9" i="1" s="1"/>
  <c r="H6" i="2"/>
  <c r="T11" i="12"/>
  <c r="I11" i="12"/>
  <c r="J11" i="12" s="1"/>
  <c r="I9" i="12"/>
  <c r="J9" i="12" s="1"/>
  <c r="H8" i="12"/>
  <c r="T8" i="12" s="1"/>
  <c r="J16" i="12"/>
  <c r="L16" i="12" s="1"/>
  <c r="H9" i="12"/>
  <c r="S9" i="12"/>
  <c r="T10" i="12"/>
  <c r="H18" i="12"/>
  <c r="I18" i="12" s="1"/>
  <c r="S8" i="12"/>
  <c r="T9" i="12"/>
  <c r="I10" i="12"/>
  <c r="J10" i="12" s="1"/>
  <c r="S16" i="12"/>
  <c r="H17" i="12"/>
  <c r="I17" i="12" s="1"/>
  <c r="J17" i="12" s="1"/>
  <c r="S18" i="12"/>
  <c r="H16" i="12"/>
  <c r="I16" i="12" s="1"/>
  <c r="I7" i="12"/>
  <c r="H5" i="12"/>
  <c r="J7" i="12"/>
  <c r="L7" i="12" s="1"/>
  <c r="M7" i="12" s="1"/>
  <c r="U7" i="12"/>
  <c r="S7" i="12"/>
  <c r="T7" i="12"/>
  <c r="S12" i="12"/>
  <c r="H12" i="12"/>
  <c r="I12" i="12"/>
  <c r="H6" i="12"/>
  <c r="T6" i="12" s="1"/>
  <c r="I6" i="12"/>
  <c r="J6" i="12" s="1"/>
  <c r="S6" i="12"/>
  <c r="U6" i="12"/>
  <c r="G3" i="1"/>
  <c r="G6" i="1" s="1"/>
  <c r="E10" i="1"/>
  <c r="F7" i="4"/>
  <c r="E9" i="1" s="1"/>
  <c r="E6" i="1"/>
  <c r="F6" i="2"/>
  <c r="I10" i="1"/>
  <c r="J5" i="5"/>
  <c r="G210" i="15" s="1"/>
  <c r="G226" i="15" s="1"/>
  <c r="C10" i="1"/>
  <c r="D7" i="4"/>
  <c r="C9" i="1" s="1"/>
  <c r="C3" i="1"/>
  <c r="C6" i="1" s="1"/>
  <c r="T16" i="12"/>
  <c r="U16" i="12"/>
  <c r="H15" i="12"/>
  <c r="B52" i="17"/>
  <c r="J8" i="2" s="1"/>
  <c r="H14" i="12"/>
  <c r="I14" i="12" s="1"/>
  <c r="J7" i="4"/>
  <c r="I9" i="1" s="1"/>
  <c r="D5" i="4"/>
  <c r="H13" i="12"/>
  <c r="S13" i="12"/>
  <c r="I120" i="15" l="1"/>
  <c r="G9" i="15" s="1"/>
  <c r="I11" i="15" s="1"/>
  <c r="G13" i="1"/>
  <c r="G15" i="1" s="1"/>
  <c r="G18" i="1" s="1"/>
  <c r="G21" i="1" s="1"/>
  <c r="G24" i="1" s="1"/>
  <c r="G28" i="1" s="1"/>
  <c r="H5" i="4"/>
  <c r="F5" i="4"/>
  <c r="T14" i="12"/>
  <c r="L9" i="12"/>
  <c r="O9" i="12" s="1"/>
  <c r="N9" i="12"/>
  <c r="M9" i="12"/>
  <c r="N11" i="12"/>
  <c r="L11" i="12"/>
  <c r="O11" i="12" s="1"/>
  <c r="M11" i="12"/>
  <c r="N10" i="12"/>
  <c r="L10" i="12"/>
  <c r="M10" i="12"/>
  <c r="O10" i="12" s="1"/>
  <c r="M16" i="12"/>
  <c r="O16" i="12" s="1"/>
  <c r="U10" i="12"/>
  <c r="U11" i="12"/>
  <c r="U18" i="12"/>
  <c r="L17" i="12"/>
  <c r="M17" i="12" s="1"/>
  <c r="I8" i="12"/>
  <c r="U8" i="12" s="1"/>
  <c r="U9" i="12"/>
  <c r="T18" i="12"/>
  <c r="J12" i="12"/>
  <c r="T17" i="12"/>
  <c r="U17" i="12"/>
  <c r="J18" i="12"/>
  <c r="T5" i="12"/>
  <c r="I5" i="12"/>
  <c r="U5" i="12" s="1"/>
  <c r="N7" i="12"/>
  <c r="O7" i="12" s="1"/>
  <c r="N12" i="12"/>
  <c r="L12" i="12"/>
  <c r="U12" i="12"/>
  <c r="T12" i="12"/>
  <c r="N6" i="12"/>
  <c r="L6" i="12"/>
  <c r="E13" i="1"/>
  <c r="E15" i="1" s="1"/>
  <c r="E18" i="1" s="1"/>
  <c r="E21" i="1" s="1"/>
  <c r="E24" i="1" s="1"/>
  <c r="E28" i="1" s="1"/>
  <c r="C13" i="1"/>
  <c r="C15" i="1" s="1"/>
  <c r="C18" i="1" s="1"/>
  <c r="C21" i="1" s="1"/>
  <c r="C24" i="1" s="1"/>
  <c r="C28" i="1" s="1"/>
  <c r="T15" i="12"/>
  <c r="I15" i="12"/>
  <c r="J15" i="12" s="1"/>
  <c r="I3" i="1"/>
  <c r="I6" i="1" s="1"/>
  <c r="J6" i="2"/>
  <c r="G206" i="15"/>
  <c r="G208" i="15" s="1"/>
  <c r="I207" i="15" s="1"/>
  <c r="I224" i="15" s="1"/>
  <c r="I86" i="15" s="1"/>
  <c r="I88" i="15" s="1"/>
  <c r="I6" i="15" s="1"/>
  <c r="I13" i="15" s="1"/>
  <c r="I18" i="15" s="1"/>
  <c r="J5" i="4"/>
  <c r="J14" i="12"/>
  <c r="U14" i="12"/>
  <c r="T13" i="12"/>
  <c r="I13" i="12"/>
  <c r="U13" i="12" s="1"/>
  <c r="O17" i="12" l="1"/>
  <c r="M18" i="12"/>
  <c r="L18" i="12"/>
  <c r="O18" i="12" s="1"/>
  <c r="J8" i="12"/>
  <c r="J5" i="12"/>
  <c r="N5" i="12"/>
  <c r="L5" i="12"/>
  <c r="M5" i="12"/>
  <c r="O5" i="12" s="1"/>
  <c r="M12" i="12"/>
  <c r="O12" i="12" s="1"/>
  <c r="M6" i="12"/>
  <c r="O6" i="12" s="1"/>
  <c r="L15" i="12"/>
  <c r="U15" i="12"/>
  <c r="C86" i="15"/>
  <c r="L14" i="12"/>
  <c r="M14" i="12" s="1"/>
  <c r="N14" i="12"/>
  <c r="J13" i="12"/>
  <c r="O14" i="12" l="1"/>
  <c r="L8" i="12"/>
  <c r="N8" i="12"/>
  <c r="M8" i="12"/>
  <c r="O8" i="12"/>
  <c r="M15" i="12"/>
  <c r="O15" i="12" s="1"/>
  <c r="N13" i="12"/>
  <c r="N19" i="12" s="1"/>
  <c r="B28" i="12" s="1"/>
  <c r="J13" i="3" s="1"/>
  <c r="L13" i="12"/>
  <c r="L19" i="12" s="1"/>
  <c r="B27" i="12" s="1"/>
  <c r="J9" i="3" s="1"/>
  <c r="J19" i="12"/>
  <c r="B25" i="12" s="1"/>
  <c r="J8" i="3" s="1"/>
  <c r="M13" i="12" l="1"/>
  <c r="M19" i="12" s="1"/>
  <c r="B26" i="12" s="1"/>
  <c r="J11" i="3" s="1"/>
  <c r="O13" i="12"/>
  <c r="O19" i="12" s="1"/>
  <c r="B29" i="12" s="1"/>
  <c r="J26" i="3" l="1"/>
  <c r="J18" i="3" s="1"/>
  <c r="J6" i="3" s="1"/>
  <c r="I8" i="1" s="1"/>
  <c r="I13" i="1" s="1"/>
  <c r="I15" i="1" s="1"/>
  <c r="I18" i="1" s="1"/>
  <c r="I21" i="1" l="1"/>
  <c r="I24" i="1" s="1"/>
  <c r="I28" i="1" s="1"/>
</calcChain>
</file>

<file path=xl/sharedStrings.xml><?xml version="1.0" encoding="utf-8"?>
<sst xmlns="http://schemas.openxmlformats.org/spreadsheetml/2006/main" count="502" uniqueCount="360">
  <si>
    <t>Øvrige indtægter</t>
  </si>
  <si>
    <t>Indtægter i alt</t>
  </si>
  <si>
    <t>Personaleomkostninger</t>
  </si>
  <si>
    <t>Administrationsomkostninger</t>
  </si>
  <si>
    <t>Møde-, kursus- og medlemsaktiviteter</t>
  </si>
  <si>
    <t>Ejendommens drift</t>
  </si>
  <si>
    <t>Omkostninger i alt</t>
  </si>
  <si>
    <t>Resultat før afskrivninger</t>
  </si>
  <si>
    <t>Afskrivninger</t>
  </si>
  <si>
    <t>Resultat før finansielle poster</t>
  </si>
  <si>
    <t>Finansielle poster</t>
  </si>
  <si>
    <t>Resultat før skat</t>
  </si>
  <si>
    <t>Skat</t>
  </si>
  <si>
    <t>Kontingentindtægter</t>
  </si>
  <si>
    <t>Andre indtægter</t>
  </si>
  <si>
    <t>Pension arbejdsgiver</t>
  </si>
  <si>
    <t>ATP arbejdsgiver</t>
  </si>
  <si>
    <t>Lønsumsafgift</t>
  </si>
  <si>
    <t>Møde-, kursus- og medlemsaktiviteter i alt</t>
  </si>
  <si>
    <t>Generalforsamling</t>
  </si>
  <si>
    <t>Personale uddannelse</t>
  </si>
  <si>
    <t>Administration</t>
  </si>
  <si>
    <t>Kursusudgifter/gebyrer</t>
  </si>
  <si>
    <t>Kontorartikler, patroner, kuverter m.m.</t>
  </si>
  <si>
    <t>Reparation og vedligeholdelse inventar</t>
  </si>
  <si>
    <t>Ejendomsudgifter i alt</t>
  </si>
  <si>
    <t>Ejendomsskatter</t>
  </si>
  <si>
    <t>Renovation</t>
  </si>
  <si>
    <t>El, vand, kloak</t>
  </si>
  <si>
    <t>Finansielle poster i alt</t>
  </si>
  <si>
    <t>Renteindtægter</t>
  </si>
  <si>
    <t xml:space="preserve">Navn </t>
  </si>
  <si>
    <t>Stilling</t>
  </si>
  <si>
    <t xml:space="preserve"> Funktions-tillæg </t>
  </si>
  <si>
    <t>Årsløn</t>
  </si>
  <si>
    <t>Antal md.</t>
  </si>
  <si>
    <t>Arbejdsgiver pension i %</t>
  </si>
  <si>
    <t>Ferietillæg</t>
  </si>
  <si>
    <t>Lønsums-afgift</t>
  </si>
  <si>
    <t>Faglig andel af lønsum i %</t>
  </si>
  <si>
    <t>Arbejds-giver pension %</t>
  </si>
  <si>
    <t>Løn til konto 20020</t>
  </si>
  <si>
    <t>Ferietillæg i alt til konto 20040</t>
  </si>
  <si>
    <t>Feriepenge/tillæg</t>
  </si>
  <si>
    <t>Pension arbg.andel til konto 20045</t>
  </si>
  <si>
    <t>ATP arb.giverandel til konto 20055</t>
  </si>
  <si>
    <t>Lønsumsafgift i alt til konto 20060</t>
  </si>
  <si>
    <t>I alt</t>
  </si>
  <si>
    <t>Modtaget forplejning/adm. AKUT</t>
  </si>
  <si>
    <t>AKUT</t>
  </si>
  <si>
    <t>Varme</t>
  </si>
  <si>
    <t>Merchandice</t>
  </si>
  <si>
    <t>Diverse småanskaffelser til huset</t>
  </si>
  <si>
    <t>Kontingentindtægter i alt</t>
  </si>
  <si>
    <t xml:space="preserve">AKUT </t>
  </si>
  <si>
    <t>Modtagne AKUT-midler</t>
  </si>
  <si>
    <t>Anvendte AKUT-midler</t>
  </si>
  <si>
    <t xml:space="preserve">Møde og kursusudgifter i alt </t>
  </si>
  <si>
    <t>Møde og kursusudgifter i alt 
inkl. sektorer og AKUT</t>
  </si>
  <si>
    <t>Adm. omkostninger i alt ren afdeling</t>
  </si>
  <si>
    <t>Administrationsomkostninger i alt 
ink. bogshop</t>
  </si>
  <si>
    <t>Møde og kursusudg. ren afd. u/seniorklub/sektorer/AKUT - til mellemregning</t>
  </si>
  <si>
    <t>Resultat afdelings regnskab</t>
  </si>
  <si>
    <t xml:space="preserve">Resultat total regnskab </t>
  </si>
  <si>
    <t>Kontingent</t>
  </si>
  <si>
    <t>Noter</t>
  </si>
  <si>
    <t>Aktiviteter (udgifter)</t>
  </si>
  <si>
    <t>Samlet resultat for aktiviteter:</t>
  </si>
  <si>
    <t>Formand</t>
  </si>
  <si>
    <t>Næstformand</t>
  </si>
  <si>
    <t>Kontorassistent/sekretær</t>
  </si>
  <si>
    <t>Faglig sekretær</t>
  </si>
  <si>
    <t>Telefon</t>
  </si>
  <si>
    <t>Abonnementer/faglitteratur/aviser</t>
  </si>
  <si>
    <t>Annoncer</t>
  </si>
  <si>
    <t>Rengøringsartikler</t>
  </si>
  <si>
    <t xml:space="preserve">Afskrivninger </t>
  </si>
  <si>
    <t>Lønomkostnigner  ialt</t>
  </si>
  <si>
    <t>Ferie-tillæg incl. fritvalg i %</t>
  </si>
  <si>
    <t>Møde- og kursusufgifter Teams</t>
  </si>
  <si>
    <t>Honorar</t>
  </si>
  <si>
    <t>Faglig afdeling</t>
  </si>
  <si>
    <t>Bilag 1 Erhvervsmæssig indkomst</t>
  </si>
  <si>
    <t>Forsikring</t>
  </si>
  <si>
    <t>Reparation og vedligeholdelse</t>
  </si>
  <si>
    <t>Alarm</t>
  </si>
  <si>
    <t>Andel af fællesudgifter 31,22%</t>
  </si>
  <si>
    <t>Indkomst ved erhvervsmæssig virksomhed, udlejning af lokaler, Brønderslev</t>
  </si>
  <si>
    <t>Forsikringer</t>
  </si>
  <si>
    <t>EL og vand</t>
  </si>
  <si>
    <t>Løn, egen regning</t>
  </si>
  <si>
    <t>Andel af fællesudgifter 33,60%</t>
  </si>
  <si>
    <t>Andel af fællesudgifter 48,00%</t>
  </si>
  <si>
    <t>Skattepligtig overskud</t>
  </si>
  <si>
    <t>Bilag 2 . Opgørelse af øvrig nettoindkomst</t>
  </si>
  <si>
    <t>Skattepligtig øvrig nettoindkomst</t>
  </si>
  <si>
    <t>Renteindtægter jf. regnskab</t>
  </si>
  <si>
    <t>Udbytter jf. regnskab</t>
  </si>
  <si>
    <t>Renteudgifter jf. regnskab</t>
  </si>
  <si>
    <t>Kurstab jf. regnskab</t>
  </si>
  <si>
    <t>Korrektion for 30% af udbytte - skattefri porteføljeaktier</t>
  </si>
  <si>
    <t>Skattepligtig øvrig nettoindkomst i alt</t>
  </si>
  <si>
    <t>Bilag 3 - Konsolideringsfradrag</t>
  </si>
  <si>
    <t>Regnskabs</t>
  </si>
  <si>
    <t>mæssig værdi</t>
  </si>
  <si>
    <t>Skatte-</t>
  </si>
  <si>
    <t>Aktiver</t>
  </si>
  <si>
    <t>Ejendomme</t>
  </si>
  <si>
    <t>Værdi inventar mv</t>
  </si>
  <si>
    <t>Beholdning, gaveartikler mm</t>
  </si>
  <si>
    <t>Tilgodehavender</t>
  </si>
  <si>
    <t>Forudbetalte omkostninger</t>
  </si>
  <si>
    <t>Likvide beholdninger</t>
  </si>
  <si>
    <t>Aktiver i alt</t>
  </si>
  <si>
    <t>Gældsforpligtelser</t>
  </si>
  <si>
    <t>Hensatte forpligtelser</t>
  </si>
  <si>
    <t>Kortfristet del af langfristet gæld</t>
  </si>
  <si>
    <t>Bankgæld</t>
  </si>
  <si>
    <t>Feriepengeforpligtelse</t>
  </si>
  <si>
    <t>Anden gæld</t>
  </si>
  <si>
    <t>Depositum</t>
  </si>
  <si>
    <t>Gæld i alt</t>
  </si>
  <si>
    <t>Egenkapital</t>
  </si>
  <si>
    <t>Skattemæssig værdi pr. 1. januar 2019</t>
  </si>
  <si>
    <t>Konsolideringsfradrag, heraf</t>
  </si>
  <si>
    <t>Bundfradrag - udnyttet</t>
  </si>
  <si>
    <t>Korrigeret for 30% udbytte</t>
  </si>
  <si>
    <t>Opgørelse af skattepligtig indkomst</t>
  </si>
  <si>
    <t>Indkomst ved erhvervsmæssig virksomhed (bilag 1)</t>
  </si>
  <si>
    <t>Skattepligtig øvrig nettoindkomst inkl. Kursgevinster</t>
  </si>
  <si>
    <t>og aktieudbytte (bilag 2)</t>
  </si>
  <si>
    <t>Bundfradrag</t>
  </si>
  <si>
    <t>Skattepligtig indkomst før konsolideringsfradrag</t>
  </si>
  <si>
    <t>Konsolideringsfradrag, maks. § 5, stk 3 (bilag 3)</t>
  </si>
  <si>
    <t>Skattepligtig indkomst</t>
  </si>
  <si>
    <t>Erhvervet dansk udbytte (brutto) - 22% (felt 192)</t>
  </si>
  <si>
    <t>Elevarbejde</t>
  </si>
  <si>
    <t xml:space="preserve">Indkomst ved erhvervsmæssig virksomhed, udlejning af lokaler, Hjørring </t>
  </si>
  <si>
    <t xml:space="preserve">Skattebilag </t>
  </si>
  <si>
    <t>Omsætning</t>
  </si>
  <si>
    <t>Lejeindtægt</t>
  </si>
  <si>
    <t>Lokaleomkostninger</t>
  </si>
  <si>
    <t>Lokaleomkostninger fratrukket</t>
  </si>
  <si>
    <t>Lønsumsgrundlag administration:</t>
  </si>
  <si>
    <t>Dorte Administration 100%</t>
  </si>
  <si>
    <t>Susanne 100%</t>
  </si>
  <si>
    <t>Lønsumsafgift Susanne</t>
  </si>
  <si>
    <t>formueadministration 5 0/0</t>
  </si>
  <si>
    <t>Afskrivning inventar</t>
  </si>
  <si>
    <t>Administrationsfradrag</t>
  </si>
  <si>
    <t>Fradrag opgøres ud fra kvm</t>
  </si>
  <si>
    <t>Hjørring</t>
  </si>
  <si>
    <t>Areal jf. BBR</t>
  </si>
  <si>
    <t>Udlejet til fremmed</t>
  </si>
  <si>
    <t>Beregnet FOA areal</t>
  </si>
  <si>
    <t>% til beregning af fællesudgifter er 31,22%</t>
  </si>
  <si>
    <t>Brønderslev</t>
  </si>
  <si>
    <t>Udlejet areal ti OAA</t>
  </si>
  <si>
    <t>Udlejet til OAA</t>
  </si>
  <si>
    <t>% til beregning af fællesudgifter er 33,6%</t>
  </si>
  <si>
    <t>% til beregning af fællesudgiter er 48,00% (total)</t>
  </si>
  <si>
    <t>Værdi - unoterede værdipapirer (kurs 725,73178)</t>
  </si>
  <si>
    <t>Lønsumsafgift Dorte (6,37%)</t>
  </si>
  <si>
    <t>OAA's andel af adm. Omkostninger</t>
  </si>
  <si>
    <r>
      <rPr>
        <b/>
        <sz val="11"/>
        <color theme="1"/>
        <rFont val="Calibri"/>
        <family val="2"/>
        <scheme val="minor"/>
      </rPr>
      <t>Huslejefordel</t>
    </r>
    <r>
      <rPr>
        <sz val="11"/>
        <color theme="1"/>
        <rFont val="Calibri"/>
        <family val="2"/>
        <scheme val="minor"/>
      </rPr>
      <t>ing</t>
    </r>
  </si>
  <si>
    <t xml:space="preserve">Husleje A-kasse </t>
  </si>
  <si>
    <t>Vedligeholdelse A-kasse</t>
  </si>
  <si>
    <t>Afskrivninger A-kasse</t>
  </si>
  <si>
    <t>Husleje Andre Brønderselv</t>
  </si>
  <si>
    <t>Udlejning af mødelokaler</t>
  </si>
  <si>
    <t>Konto 37310</t>
  </si>
  <si>
    <t>Konto 37315</t>
  </si>
  <si>
    <t>Konto 37330</t>
  </si>
  <si>
    <t>Konto 37320</t>
  </si>
  <si>
    <t>Lønsumsafgift Leif (6.37%)</t>
  </si>
  <si>
    <t xml:space="preserve">Administrationsfradrag </t>
  </si>
  <si>
    <t xml:space="preserve">Formueadministration, 5% af finansielle aktiver kr. </t>
  </si>
  <si>
    <t>Fradrag uddeling velgørende formål</t>
  </si>
  <si>
    <t>Skatteberegning</t>
  </si>
  <si>
    <t xml:space="preserve">Nedrunding af skattepligtig indkomst </t>
  </si>
  <si>
    <t>Skat i alt</t>
  </si>
  <si>
    <t>Lønstigning 1/1</t>
  </si>
  <si>
    <t>Lønstigning 1/4</t>
  </si>
  <si>
    <t>Lønstigning 1/10</t>
  </si>
  <si>
    <t>Løn pr. mdr. inkl. Stigning 1/1</t>
  </si>
  <si>
    <t>Løn pr. mdr. inkl. Stigning 1/4</t>
  </si>
  <si>
    <t>Løn pr. mdr. inkl. Stigning 1/10</t>
  </si>
  <si>
    <t>Løntrin</t>
  </si>
  <si>
    <t xml:space="preserve">Månedsløn </t>
  </si>
  <si>
    <t xml:space="preserve">Arbejdsgiver ATP </t>
  </si>
  <si>
    <t>Bemærkning</t>
  </si>
  <si>
    <t>Konto 37311</t>
  </si>
  <si>
    <t>Fri telefon og øvrige tillæg</t>
  </si>
  <si>
    <t>Overført til næste år ej forbrugt</t>
  </si>
  <si>
    <t>Leje indtægter ifølge budget 2021</t>
  </si>
  <si>
    <t>Lejeindtægter ifølge budget 2021</t>
  </si>
  <si>
    <t>Egenkapital pr. 1. januar 2020</t>
  </si>
  <si>
    <t>Leif 50% (AM-grundlag)</t>
  </si>
  <si>
    <t>Heraf udnyttet kr. 273.059 i 2021</t>
  </si>
  <si>
    <t>Huslejeindtægter</t>
  </si>
  <si>
    <t>Persoanleomkostninger i alt</t>
  </si>
  <si>
    <t>Gaver og blomster personale</t>
  </si>
  <si>
    <t>Sundhedsordning</t>
  </si>
  <si>
    <t>AUB, AES, KOOP mm</t>
  </si>
  <si>
    <t>Arbejdsskadeforsikring</t>
  </si>
  <si>
    <t>Porto og fragt</t>
  </si>
  <si>
    <t>Rengøring, vinduespolering mm</t>
  </si>
  <si>
    <t>Andre ejendomsudgifter</t>
  </si>
  <si>
    <t>A-kassens andel af ejendomsudgifter</t>
  </si>
  <si>
    <t>Lønninger</t>
  </si>
  <si>
    <t>2018+2020 er incl. fratrædelsesferiepenge</t>
  </si>
  <si>
    <t>Forsikringer på ejendom</t>
  </si>
  <si>
    <t>Ejendomsskat</t>
  </si>
  <si>
    <t>Bestyrelsmøder/konference</t>
  </si>
  <si>
    <t>Erhvervsforsikring, Løsøre og Falck</t>
  </si>
  <si>
    <t>Regnskab 2022</t>
  </si>
  <si>
    <t>Kassedifferencer</t>
  </si>
  <si>
    <t>Anvendt til AV udstyr</t>
  </si>
  <si>
    <t>Kompensation -A-kassen</t>
  </si>
  <si>
    <t>Skattefri km ansatte</t>
  </si>
  <si>
    <t>Barsel</t>
  </si>
  <si>
    <t>Merchandise til internt brug</t>
  </si>
  <si>
    <t>It-udstyr</t>
  </si>
  <si>
    <t>Kontingent andre organisationer</t>
  </si>
  <si>
    <t>Repræsentation</t>
  </si>
  <si>
    <t>Revision og regnskabsmæssig assistance</t>
  </si>
  <si>
    <t>Serviceaftaler pumpe mm</t>
  </si>
  <si>
    <t>Regnskab 2023</t>
  </si>
  <si>
    <t>Sygedagpenge og Stillingsmandsgodtgørelse</t>
  </si>
  <si>
    <t>Varekøb personaleomkostninger</t>
  </si>
  <si>
    <t>Transport personale</t>
  </si>
  <si>
    <t>Merchandise til videresalg</t>
  </si>
  <si>
    <t>Renteudgifter</t>
  </si>
  <si>
    <t>Øvrige renteudgifter</t>
  </si>
  <si>
    <t>Afskrivning kontingent/tab</t>
  </si>
  <si>
    <t>Reg. feriepenge</t>
  </si>
  <si>
    <t>Ophold/Fortæring</t>
  </si>
  <si>
    <t>Tranport mødeaktiviteter</t>
  </si>
  <si>
    <t>Diverse gebyrer</t>
  </si>
  <si>
    <t>Medlemserstatning</t>
  </si>
  <si>
    <t>Regulering lager</t>
  </si>
  <si>
    <t>Husleje</t>
  </si>
  <si>
    <t>Aktieudbytte</t>
  </si>
  <si>
    <t>Peter Bech Christensen</t>
  </si>
  <si>
    <t>Dorthe Pedersen</t>
  </si>
  <si>
    <t>Susanne Nielsen</t>
  </si>
  <si>
    <t>Lis Back</t>
  </si>
  <si>
    <t>Sara Borup</t>
  </si>
  <si>
    <t>Øvrige personaleudgifter</t>
  </si>
  <si>
    <t>Organiseringsmøde 2025</t>
  </si>
  <si>
    <t>Lønandel Regnskab</t>
  </si>
  <si>
    <t>2022 kun bonus bogført 2025 Arbejdsskade</t>
  </si>
  <si>
    <t>Kursuspakker</t>
  </si>
  <si>
    <t xml:space="preserve"> 2025 kun personalebrød mm</t>
  </si>
  <si>
    <t>Uden A-kasse og bogføringshjælp</t>
  </si>
  <si>
    <t>Ændringsforslag til kontingentsatser</t>
  </si>
  <si>
    <t>point</t>
  </si>
  <si>
    <t>Stigning i point</t>
  </si>
  <si>
    <t>Stigning i procent</t>
  </si>
  <si>
    <t>%</t>
  </si>
  <si>
    <t>Stigning i nettoprisindekset på 1% = 1,5 % forhøjelse af kontingent</t>
  </si>
  <si>
    <t>Max. kontingentforhøjelse i procent  x 1,5</t>
  </si>
  <si>
    <t>Nuværende afdelingskontingent, fuldtid</t>
  </si>
  <si>
    <t>kr.</t>
  </si>
  <si>
    <t>Nyt max. afdelingskontingent</t>
  </si>
  <si>
    <t>Hvis fuldtidskontinget</t>
  </si>
  <si>
    <t>Max kontingent</t>
  </si>
  <si>
    <t>Forslag:</t>
  </si>
  <si>
    <t>Pensionister og forbundsmedlemmer under 15 timer må maksimalt stige kr. 0,00</t>
  </si>
  <si>
    <t>Det forslås at:</t>
  </si>
  <si>
    <t>Mødeudgifter Cirkus, Djurs sommerland mm</t>
  </si>
  <si>
    <t>Arbejdsskade (Kombineret Erhvervsforsikring) konto 206900</t>
  </si>
  <si>
    <t>Nettoprisindex jan 2024</t>
  </si>
  <si>
    <t>Max. stigning i forhold til indeksregulering</t>
  </si>
  <si>
    <t>Mtype HovedGrupper</t>
  </si>
  <si>
    <t>Mtype Navn</t>
  </si>
  <si>
    <t>Antal</t>
  </si>
  <si>
    <t>Efterløn</t>
  </si>
  <si>
    <t>Total</t>
  </si>
  <si>
    <t>Fleksibel efterløn, fuldtid  - 522</t>
  </si>
  <si>
    <t>Erhvervsaktive</t>
  </si>
  <si>
    <t>Elever</t>
  </si>
  <si>
    <t>FOA dim. alm. elevløn u 30 år u/efbid  - 207</t>
  </si>
  <si>
    <t>FOA dim. høj elevløn 25-30 år u/efbid  - 205</t>
  </si>
  <si>
    <t>FOA dim. høj elevløn m/efbid  - 005</t>
  </si>
  <si>
    <t>FOA ej dim. alm.elevløn o 30 år u/efbid  - 117</t>
  </si>
  <si>
    <t>FOA ej dim. alm.elevløn u 30 år u/efbid  - 217</t>
  </si>
  <si>
    <t>FOA ej dim. høj elevløn m/efbid  - 015</t>
  </si>
  <si>
    <t>FOA ej dim. høj elevløn o 30 år u/efbid  - 115</t>
  </si>
  <si>
    <t>FOA ej dim. høj elevløn u 30 år u/efbid  - 215</t>
  </si>
  <si>
    <t>FOA elevkontingent, forbund  - 057</t>
  </si>
  <si>
    <t>FOA udd. høj elevløn, forbund  - 063</t>
  </si>
  <si>
    <t>Forbund, fuldtid  - 041</t>
  </si>
  <si>
    <t>Fuldtid u 30 år u/efbid  - 201</t>
  </si>
  <si>
    <t>Grundforløb m/hovedforløb u 30år u/efbid  - 297</t>
  </si>
  <si>
    <t>Hvilende + dim udd. ej FOA u/30 u/efbid  - 230</t>
  </si>
  <si>
    <t>Hvilende fuldtid, forbund  - 048</t>
  </si>
  <si>
    <t>Hvilende m/efbid, fuldtid  - 028</t>
  </si>
  <si>
    <t>Hvilende o 30 år u/efbid, fuldtid  - 128</t>
  </si>
  <si>
    <t>Hvilende u 30 år u/efbid, fuldtid  - 228</t>
  </si>
  <si>
    <t>Erhvervsaktive ekskl. elever</t>
  </si>
  <si>
    <t>Deltid m/efterlønsbidrag  - 003</t>
  </si>
  <si>
    <t>Deltid o 30 år u/efbid  - 103</t>
  </si>
  <si>
    <t>Deltid u.30 år u/efbid  - 203</t>
  </si>
  <si>
    <t>Ej FOA, dim. m/efbid, fuldtid  - 031</t>
  </si>
  <si>
    <t>FOAelevkont+fuld a-kassekont o 30 u/efbi  - 120</t>
  </si>
  <si>
    <t>FOAelevkont+fuld a-kassekont u 30 u/efbi  - 220</t>
  </si>
  <si>
    <t>Forbund 0-15 timer/ugen  - 045</t>
  </si>
  <si>
    <t>Forbund, deltid  - 043</t>
  </si>
  <si>
    <t>Fuldtid m/efterlønsbidrag  - 001</t>
  </si>
  <si>
    <t>Fuldtid o 30 år u/efbid  - 101</t>
  </si>
  <si>
    <t>Fuldtid o 60 år med efterlønsbevis  - 401</t>
  </si>
  <si>
    <t>Hvilende o 30 år u/efbid, deltid  - 129</t>
  </si>
  <si>
    <t>Pensionister</t>
  </si>
  <si>
    <t>Pensionist over 65 år  - 061</t>
  </si>
  <si>
    <t>Pensionist under 65 år  - 060</t>
  </si>
  <si>
    <t xml:space="preserve">Kontinget pr medlem årligt </t>
  </si>
  <si>
    <t>Kontingent i alt</t>
  </si>
  <si>
    <t>FOA Mariagerfjord</t>
  </si>
  <si>
    <t>Overført beløb kr.22.511 i 2022 i kredit</t>
  </si>
  <si>
    <t xml:space="preserve">Sundghedsfaglig ordbog, bolcher mm </t>
  </si>
  <si>
    <t>Regnskab 2024</t>
  </si>
  <si>
    <t>Budget 2026</t>
  </si>
  <si>
    <t>Kontingentregulering pr. 1. januar 2026</t>
  </si>
  <si>
    <t>Nettoprisindex jan 2025</t>
  </si>
  <si>
    <t>Salg billetter Cirkus/Djurs Sommerland</t>
  </si>
  <si>
    <t>Lønrefusion fra kommuner o.a.</t>
  </si>
  <si>
    <t>Daglønstab</t>
  </si>
  <si>
    <t>Varekøb bogshop</t>
  </si>
  <si>
    <t>Konsulentydelser/Fordeling</t>
  </si>
  <si>
    <t>Rejseudgifter</t>
  </si>
  <si>
    <t>Deltagergebyr</t>
  </si>
  <si>
    <t>Udbetalt i 2025</t>
  </si>
  <si>
    <t>Organiseringskursus</t>
  </si>
  <si>
    <t>Medlemstal 30.6.25</t>
  </si>
  <si>
    <t>319 dage</t>
  </si>
  <si>
    <t>Min. stigning i forhold til afdelingslovene</t>
  </si>
  <si>
    <t xml:space="preserve">Da nettoprisíndekset er steget med 2,15 % point, kan kontingentet for 2026 stige til kr.289.00. </t>
  </si>
  <si>
    <t xml:space="preserve">Afdelingskontingentet sættes op med kr. 6,00 </t>
  </si>
  <si>
    <t>Kontingent til efterlønsmodtagere kan hæves med max. kr. 6,00 for fuldtidsmedlemmer</t>
  </si>
  <si>
    <t>Forhøjelse 6,00</t>
  </si>
  <si>
    <t>Dato</t>
  </si>
  <si>
    <t>Mtype UnderGrupper</t>
  </si>
  <si>
    <t/>
  </si>
  <si>
    <t>FOA dim. høj elevløn, ef-bidragsfri per  - 105</t>
  </si>
  <si>
    <t>FOA ej dim, alm elevløn u/18 år  - 617</t>
  </si>
  <si>
    <t>Grundforløb alene + a-kasse o 30 u/efbid  - 135</t>
  </si>
  <si>
    <t>Grundforløb m/hovedforløb o 30år u/efbid  - 197</t>
  </si>
  <si>
    <t>Ej FOA dim. u 30 år u/efbid, fuldtid  - 231</t>
  </si>
  <si>
    <t>Hvilende deltid, forbund  - 049</t>
  </si>
  <si>
    <t>Refusion kørsel bogføresn nu under kørsel</t>
  </si>
  <si>
    <t>Frikøb valgt i 2024</t>
  </si>
  <si>
    <t>Indtægt for salg af merchandise</t>
  </si>
  <si>
    <t>18000 2025 rep kamera dørtelefon</t>
  </si>
  <si>
    <t>Vurdering ejendom 2024</t>
  </si>
  <si>
    <t>Saltning, Alarm, Elevatorservice, TDC, Falck</t>
  </si>
  <si>
    <t>2025 sats</t>
  </si>
  <si>
    <t>Fagligt udvalg</t>
  </si>
  <si>
    <t>Arbejdsskadesager (Forbundet)</t>
  </si>
  <si>
    <t>51 sager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</si>
</sst>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.&quot;_-;\-* #,##0.00\ &quot;kr.&quot;_-;_-* &quot;-&quot;??\ &quot;kr.&quot;_-;_-@_-"/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dd\-mm\-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Verdana"/>
      <family val="2"/>
    </font>
    <font>
      <sz val="10"/>
      <name val="MS Sans Serif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ptos Narrow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" fillId="0" borderId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40" fontId="17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 applyBorder="1"/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6" fontId="5" fillId="0" borderId="0" xfId="3" applyFont="1" applyAlignment="1">
      <alignment horizontal="center" wrapText="1"/>
    </xf>
    <xf numFmtId="1" fontId="5" fillId="0" borderId="0" xfId="3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10" fontId="5" fillId="0" borderId="0" xfId="2" applyNumberFormat="1" applyFont="1" applyAlignment="1" applyProtection="1">
      <alignment horizontal="center" wrapText="1"/>
    </xf>
    <xf numFmtId="0" fontId="6" fillId="0" borderId="0" xfId="0" applyFont="1"/>
    <xf numFmtId="166" fontId="6" fillId="0" borderId="0" xfId="3" applyFont="1"/>
    <xf numFmtId="166" fontId="5" fillId="0" borderId="0" xfId="3" applyFont="1"/>
    <xf numFmtId="1" fontId="6" fillId="0" borderId="0" xfId="0" applyNumberFormat="1" applyFont="1"/>
    <xf numFmtId="10" fontId="6" fillId="0" borderId="0" xfId="2" applyNumberFormat="1" applyFont="1" applyFill="1" applyProtection="1"/>
    <xf numFmtId="9" fontId="6" fillId="0" borderId="0" xfId="2" applyFont="1" applyProtection="1"/>
    <xf numFmtId="39" fontId="6" fillId="3" borderId="4" xfId="0" applyNumberFormat="1" applyFont="1" applyFill="1" applyBorder="1" applyProtection="1">
      <protection locked="0"/>
    </xf>
    <xf numFmtId="39" fontId="6" fillId="3" borderId="4" xfId="3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/>
    <xf numFmtId="166" fontId="6" fillId="0" borderId="4" xfId="0" applyNumberFormat="1" applyFont="1" applyBorder="1"/>
    <xf numFmtId="1" fontId="6" fillId="3" borderId="4" xfId="3" applyNumberFormat="1" applyFont="1" applyFill="1" applyBorder="1" applyProtection="1">
      <protection locked="0"/>
    </xf>
    <xf numFmtId="166" fontId="6" fillId="0" borderId="4" xfId="3" applyFont="1" applyBorder="1"/>
    <xf numFmtId="166" fontId="6" fillId="0" borderId="5" xfId="0" applyNumberFormat="1" applyFont="1" applyBorder="1"/>
    <xf numFmtId="10" fontId="6" fillId="3" borderId="5" xfId="2" applyNumberFormat="1" applyFont="1" applyFill="1" applyBorder="1" applyProtection="1">
      <protection locked="0"/>
    </xf>
    <xf numFmtId="10" fontId="6" fillId="3" borderId="4" xfId="2" applyNumberFormat="1" applyFont="1" applyFill="1" applyBorder="1" applyProtection="1">
      <protection locked="0"/>
    </xf>
    <xf numFmtId="166" fontId="6" fillId="0" borderId="4" xfId="2" applyNumberFormat="1" applyFont="1" applyFill="1" applyBorder="1" applyProtection="1"/>
    <xf numFmtId="166" fontId="5" fillId="0" borderId="4" xfId="0" applyNumberFormat="1" applyFont="1" applyBorder="1"/>
    <xf numFmtId="1" fontId="6" fillId="0" borderId="4" xfId="3" applyNumberFormat="1" applyFont="1" applyBorder="1"/>
    <xf numFmtId="10" fontId="6" fillId="0" borderId="4" xfId="2" applyNumberFormat="1" applyFont="1" applyFill="1" applyBorder="1" applyProtection="1"/>
    <xf numFmtId="168" fontId="6" fillId="0" borderId="4" xfId="0" applyNumberFormat="1" applyFont="1" applyBorder="1"/>
    <xf numFmtId="3" fontId="5" fillId="0" borderId="0" xfId="0" applyNumberFormat="1" applyFont="1"/>
    <xf numFmtId="166" fontId="5" fillId="0" borderId="4" xfId="0" applyNumberFormat="1" applyFont="1" applyBorder="1" applyAlignment="1">
      <alignment horizontal="right"/>
    </xf>
    <xf numFmtId="2" fontId="5" fillId="3" borderId="2" xfId="2" applyNumberFormat="1" applyFont="1" applyFill="1" applyBorder="1" applyAlignment="1" applyProtection="1">
      <alignment horizontal="center"/>
      <protection locked="0"/>
    </xf>
    <xf numFmtId="166" fontId="5" fillId="0" borderId="0" xfId="3" applyFont="1" applyAlignment="1">
      <alignment horizontal="left" wrapText="1"/>
    </xf>
    <xf numFmtId="0" fontId="5" fillId="0" borderId="0" xfId="0" applyFont="1" applyAlignment="1">
      <alignment vertical="center"/>
    </xf>
    <xf numFmtId="166" fontId="5" fillId="0" borderId="0" xfId="3" applyFont="1" applyAlignment="1">
      <alignment horizontal="left"/>
    </xf>
    <xf numFmtId="167" fontId="6" fillId="3" borderId="4" xfId="3" applyNumberFormat="1" applyFont="1" applyFill="1" applyBorder="1" applyAlignment="1" applyProtection="1">
      <alignment horizontal="left"/>
      <protection locked="0"/>
    </xf>
    <xf numFmtId="165" fontId="0" fillId="0" borderId="0" xfId="1" applyNumberFormat="1" applyFont="1" applyFill="1"/>
    <xf numFmtId="165" fontId="0" fillId="0" borderId="1" xfId="1" applyNumberFormat="1" applyFont="1" applyFill="1" applyBorder="1"/>
    <xf numFmtId="165" fontId="2" fillId="0" borderId="1" xfId="1" applyNumberFormat="1" applyFont="1" applyFill="1" applyBorder="1"/>
    <xf numFmtId="165" fontId="2" fillId="0" borderId="0" xfId="1" applyNumberFormat="1" applyFont="1" applyFill="1"/>
    <xf numFmtId="165" fontId="2" fillId="0" borderId="0" xfId="1" applyNumberFormat="1" applyFont="1" applyFill="1" applyBorder="1"/>
    <xf numFmtId="0" fontId="2" fillId="0" borderId="0" xfId="0" applyFont="1" applyAlignment="1">
      <alignment wrapText="1"/>
    </xf>
    <xf numFmtId="165" fontId="2" fillId="0" borderId="0" xfId="1" applyNumberFormat="1" applyFont="1" applyFill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/>
    <xf numFmtId="9" fontId="0" fillId="0" borderId="0" xfId="0" applyNumberFormat="1"/>
    <xf numFmtId="165" fontId="0" fillId="0" borderId="0" xfId="1" applyNumberFormat="1" applyFont="1" applyBorder="1"/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5" fontId="2" fillId="0" borderId="6" xfId="1" applyNumberFormat="1" applyFont="1" applyFill="1" applyBorder="1"/>
    <xf numFmtId="39" fontId="0" fillId="0" borderId="0" xfId="0" applyNumberFormat="1"/>
    <xf numFmtId="165" fontId="2" fillId="4" borderId="0" xfId="1" applyNumberFormat="1" applyFont="1" applyFill="1" applyAlignment="1">
      <alignment horizontal="center" vertical="center" wrapText="1"/>
    </xf>
    <xf numFmtId="165" fontId="0" fillId="4" borderId="0" xfId="1" applyNumberFormat="1" applyFont="1" applyFill="1"/>
    <xf numFmtId="165" fontId="0" fillId="4" borderId="1" xfId="1" applyNumberFormat="1" applyFont="1" applyFill="1" applyBorder="1"/>
    <xf numFmtId="165" fontId="2" fillId="4" borderId="1" xfId="1" applyNumberFormat="1" applyFont="1" applyFill="1" applyBorder="1"/>
    <xf numFmtId="165" fontId="2" fillId="4" borderId="0" xfId="1" applyNumberFormat="1" applyFont="1" applyFill="1" applyBorder="1"/>
    <xf numFmtId="165" fontId="0" fillId="4" borderId="7" xfId="1" applyNumberFormat="1" applyFont="1" applyFill="1" applyBorder="1"/>
    <xf numFmtId="165" fontId="0" fillId="4" borderId="0" xfId="1" applyNumberFormat="1" applyFont="1" applyFill="1" applyBorder="1"/>
    <xf numFmtId="165" fontId="2" fillId="4" borderId="6" xfId="1" applyNumberFormat="1" applyFont="1" applyFill="1" applyBorder="1"/>
    <xf numFmtId="0" fontId="3" fillId="0" borderId="0" xfId="0" applyFont="1" applyAlignment="1">
      <alignment horizontal="left"/>
    </xf>
    <xf numFmtId="165" fontId="2" fillId="0" borderId="1" xfId="0" applyNumberFormat="1" applyFont="1" applyBorder="1"/>
    <xf numFmtId="165" fontId="2" fillId="0" borderId="0" xfId="0" applyNumberFormat="1" applyFont="1"/>
    <xf numFmtId="165" fontId="2" fillId="0" borderId="6" xfId="0" applyNumberFormat="1" applyFont="1" applyBorder="1"/>
    <xf numFmtId="165" fontId="2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Fill="1" applyBorder="1"/>
    <xf numFmtId="165" fontId="2" fillId="0" borderId="6" xfId="1" applyNumberFormat="1" applyFont="1" applyBorder="1"/>
    <xf numFmtId="165" fontId="0" fillId="0" borderId="0" xfId="0" applyNumberFormat="1"/>
    <xf numFmtId="0" fontId="0" fillId="0" borderId="0" xfId="0" applyAlignment="1">
      <alignment vertical="top" wrapText="1"/>
    </xf>
    <xf numFmtId="165" fontId="0" fillId="0" borderId="0" xfId="0" applyNumberFormat="1" applyAlignment="1">
      <alignment horizontal="center"/>
    </xf>
    <xf numFmtId="0" fontId="2" fillId="0" borderId="1" xfId="0" applyFont="1" applyBorder="1"/>
    <xf numFmtId="167" fontId="6" fillId="3" borderId="4" xfId="3" applyNumberFormat="1" applyFont="1" applyFill="1" applyBorder="1" applyProtection="1">
      <protection locked="0"/>
    </xf>
    <xf numFmtId="10" fontId="6" fillId="3" borderId="4" xfId="0" applyNumberFormat="1" applyFont="1" applyFill="1" applyBorder="1" applyProtection="1">
      <protection locked="0"/>
    </xf>
    <xf numFmtId="166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10" fontId="12" fillId="0" borderId="0" xfId="0" applyNumberFormat="1" applyFont="1"/>
    <xf numFmtId="0" fontId="12" fillId="0" borderId="1" xfId="0" applyFont="1" applyBorder="1"/>
    <xf numFmtId="0" fontId="13" fillId="0" borderId="0" xfId="0" applyFont="1"/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3" fontId="7" fillId="0" borderId="1" xfId="0" applyNumberFormat="1" applyFont="1" applyBorder="1"/>
    <xf numFmtId="2" fontId="7" fillId="0" borderId="0" xfId="0" applyNumberFormat="1" applyFont="1"/>
    <xf numFmtId="4" fontId="7" fillId="0" borderId="0" xfId="0" applyNumberFormat="1" applyFont="1"/>
    <xf numFmtId="3" fontId="7" fillId="0" borderId="0" xfId="0" applyNumberFormat="1" applyFont="1"/>
    <xf numFmtId="3" fontId="12" fillId="0" borderId="6" xfId="0" applyNumberFormat="1" applyFont="1" applyBorder="1"/>
    <xf numFmtId="3" fontId="12" fillId="0" borderId="1" xfId="0" applyNumberFormat="1" applyFont="1" applyBorder="1"/>
    <xf numFmtId="3" fontId="12" fillId="0" borderId="0" xfId="0" applyNumberFormat="1" applyFont="1"/>
    <xf numFmtId="0" fontId="7" fillId="0" borderId="1" xfId="0" applyFont="1" applyBorder="1"/>
    <xf numFmtId="0" fontId="0" fillId="0" borderId="1" xfId="0" applyBorder="1"/>
    <xf numFmtId="0" fontId="0" fillId="0" borderId="6" xfId="0" applyBorder="1"/>
    <xf numFmtId="4" fontId="0" fillId="0" borderId="1" xfId="0" applyNumberFormat="1" applyBorder="1"/>
    <xf numFmtId="10" fontId="7" fillId="0" borderId="0" xfId="0" applyNumberFormat="1" applyFont="1" applyAlignment="1">
      <alignment horizontal="left"/>
    </xf>
    <xf numFmtId="10" fontId="2" fillId="0" borderId="0" xfId="0" applyNumberFormat="1" applyFont="1"/>
    <xf numFmtId="166" fontId="5" fillId="0" borderId="0" xfId="0" applyNumberFormat="1" applyFont="1" applyAlignment="1">
      <alignment horizontal="right"/>
    </xf>
    <xf numFmtId="165" fontId="15" fillId="0" borderId="0" xfId="1" applyNumberFormat="1" applyFont="1" applyFill="1"/>
    <xf numFmtId="0" fontId="8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 wrapText="1"/>
    </xf>
    <xf numFmtId="165" fontId="7" fillId="0" borderId="0" xfId="1" applyNumberFormat="1" applyFont="1" applyFill="1"/>
    <xf numFmtId="10" fontId="5" fillId="5" borderId="4" xfId="2" applyNumberFormat="1" applyFont="1" applyFill="1" applyBorder="1" applyProtection="1">
      <protection locked="0"/>
    </xf>
    <xf numFmtId="10" fontId="5" fillId="5" borderId="3" xfId="2" applyNumberFormat="1" applyFont="1" applyFill="1" applyBorder="1" applyProtection="1">
      <protection locked="0"/>
    </xf>
    <xf numFmtId="0" fontId="14" fillId="0" borderId="0" xfId="0" applyFont="1" applyAlignment="1">
      <alignment horizontal="center"/>
    </xf>
    <xf numFmtId="167" fontId="6" fillId="2" borderId="4" xfId="3" applyNumberFormat="1" applyFont="1" applyFill="1" applyBorder="1" applyAlignment="1" applyProtection="1">
      <alignment horizontal="left"/>
      <protection locked="0"/>
    </xf>
    <xf numFmtId="39" fontId="6" fillId="2" borderId="4" xfId="0" applyNumberFormat="1" applyFont="1" applyFill="1" applyBorder="1" applyProtection="1">
      <protection locked="0"/>
    </xf>
    <xf numFmtId="0" fontId="0" fillId="0" borderId="0" xfId="0" quotePrefix="1"/>
    <xf numFmtId="39" fontId="6" fillId="2" borderId="4" xfId="3" applyNumberFormat="1" applyFont="1" applyFill="1" applyBorder="1" applyProtection="1">
      <protection locked="0"/>
    </xf>
    <xf numFmtId="165" fontId="2" fillId="6" borderId="0" xfId="1" applyNumberFormat="1" applyFont="1" applyFill="1" applyAlignment="1">
      <alignment horizontal="center" vertical="center" wrapText="1"/>
    </xf>
    <xf numFmtId="165" fontId="1" fillId="4" borderId="0" xfId="1" applyNumberFormat="1" applyFont="1" applyFill="1" applyBorder="1"/>
    <xf numFmtId="0" fontId="0" fillId="5" borderId="0" xfId="0" applyFill="1"/>
    <xf numFmtId="0" fontId="18" fillId="0" borderId="0" xfId="5" applyFont="1"/>
    <xf numFmtId="0" fontId="19" fillId="0" borderId="0" xfId="5" applyFont="1"/>
    <xf numFmtId="0" fontId="4" fillId="0" borderId="0" xfId="5" applyFont="1"/>
    <xf numFmtId="0" fontId="20" fillId="0" borderId="0" xfId="5" applyFont="1"/>
    <xf numFmtId="0" fontId="20" fillId="0" borderId="8" xfId="6" applyFont="1" applyBorder="1"/>
    <xf numFmtId="0" fontId="19" fillId="0" borderId="9" xfId="6" applyFont="1" applyBorder="1"/>
    <xf numFmtId="0" fontId="19" fillId="0" borderId="10" xfId="6" applyFont="1" applyBorder="1"/>
    <xf numFmtId="0" fontId="21" fillId="0" borderId="11" xfId="6" applyFont="1" applyBorder="1"/>
    <xf numFmtId="0" fontId="21" fillId="0" borderId="4" xfId="6" applyFont="1" applyBorder="1"/>
    <xf numFmtId="0" fontId="21" fillId="0" borderId="12" xfId="6" applyFont="1" applyBorder="1"/>
    <xf numFmtId="40" fontId="21" fillId="0" borderId="4" xfId="7" applyFont="1" applyBorder="1"/>
    <xf numFmtId="40" fontId="21" fillId="0" borderId="12" xfId="7" applyFont="1" applyBorder="1"/>
    <xf numFmtId="0" fontId="21" fillId="0" borderId="13" xfId="6" applyFont="1" applyBorder="1"/>
    <xf numFmtId="0" fontId="21" fillId="0" borderId="14" xfId="6" applyFont="1" applyBorder="1"/>
    <xf numFmtId="0" fontId="21" fillId="0" borderId="15" xfId="6" applyFont="1" applyBorder="1"/>
    <xf numFmtId="0" fontId="19" fillId="0" borderId="0" xfId="6" applyFont="1"/>
    <xf numFmtId="0" fontId="19" fillId="0" borderId="4" xfId="6" applyFont="1" applyBorder="1" applyAlignment="1">
      <alignment horizontal="right"/>
    </xf>
    <xf numFmtId="9" fontId="19" fillId="0" borderId="4" xfId="6" applyNumberFormat="1" applyFont="1" applyBorder="1" applyAlignment="1">
      <alignment horizontal="right"/>
    </xf>
    <xf numFmtId="2" fontId="22" fillId="0" borderId="4" xfId="4" applyNumberFormat="1" applyFont="1" applyBorder="1"/>
    <xf numFmtId="2" fontId="19" fillId="0" borderId="4" xfId="4" applyNumberFormat="1" applyFont="1" applyBorder="1"/>
    <xf numFmtId="2" fontId="22" fillId="2" borderId="4" xfId="4" applyNumberFormat="1" applyFont="1" applyFill="1" applyBorder="1"/>
    <xf numFmtId="0" fontId="23" fillId="0" borderId="0" xfId="0" applyFont="1"/>
    <xf numFmtId="0" fontId="22" fillId="0" borderId="0" xfId="0" applyFont="1"/>
    <xf numFmtId="0" fontId="20" fillId="0" borderId="0" xfId="0" applyFont="1"/>
    <xf numFmtId="0" fontId="19" fillId="0" borderId="0" xfId="0" applyFont="1"/>
    <xf numFmtId="0" fontId="0" fillId="0" borderId="16" xfId="0" applyBorder="1"/>
    <xf numFmtId="3" fontId="0" fillId="0" borderId="0" xfId="0" applyNumberFormat="1"/>
    <xf numFmtId="2" fontId="4" fillId="0" borderId="0" xfId="5" applyNumberFormat="1" applyFont="1"/>
    <xf numFmtId="0" fontId="24" fillId="0" borderId="0" xfId="0" applyFont="1"/>
    <xf numFmtId="0" fontId="24" fillId="0" borderId="0" xfId="5" applyFont="1"/>
    <xf numFmtId="0" fontId="25" fillId="0" borderId="0" xfId="0" applyFont="1"/>
    <xf numFmtId="165" fontId="0" fillId="0" borderId="0" xfId="1" quotePrefix="1" applyNumberFormat="1" applyFont="1" applyFill="1"/>
    <xf numFmtId="0" fontId="0" fillId="2" borderId="0" xfId="0" applyFill="1"/>
    <xf numFmtId="3" fontId="26" fillId="0" borderId="0" xfId="0" applyNumberFormat="1" applyFont="1"/>
    <xf numFmtId="0" fontId="26" fillId="0" borderId="16" xfId="0" applyFont="1" applyBorder="1"/>
    <xf numFmtId="3" fontId="26" fillId="0" borderId="4" xfId="0" applyNumberFormat="1" applyFont="1" applyBorder="1"/>
    <xf numFmtId="3" fontId="0" fillId="0" borderId="4" xfId="0" applyNumberFormat="1" applyBorder="1"/>
    <xf numFmtId="3" fontId="26" fillId="7" borderId="4" xfId="0" applyNumberFormat="1" applyFont="1" applyFill="1" applyBorder="1"/>
    <xf numFmtId="3" fontId="0" fillId="7" borderId="4" xfId="0" applyNumberFormat="1" applyFill="1" applyBorder="1"/>
    <xf numFmtId="169" fontId="2" fillId="0" borderId="4" xfId="0" applyNumberFormat="1" applyFont="1" applyBorder="1" applyAlignment="1">
      <alignment vertical="top"/>
    </xf>
    <xf numFmtId="169" fontId="2" fillId="7" borderId="4" xfId="0" applyNumberFormat="1" applyFont="1" applyFill="1" applyBorder="1" applyAlignment="1">
      <alignment vertical="top"/>
    </xf>
    <xf numFmtId="0" fontId="2" fillId="0" borderId="4" xfId="0" applyFont="1" applyBorder="1"/>
    <xf numFmtId="0" fontId="11" fillId="2" borderId="0" xfId="0" applyFont="1" applyFill="1"/>
    <xf numFmtId="0" fontId="14" fillId="2" borderId="0" xfId="0" applyFont="1" applyFill="1"/>
    <xf numFmtId="0" fontId="7" fillId="2" borderId="0" xfId="0" applyFont="1" applyFill="1"/>
    <xf numFmtId="4" fontId="0" fillId="5" borderId="0" xfId="0" applyNumberFormat="1" applyFill="1"/>
    <xf numFmtId="0" fontId="3" fillId="0" borderId="0" xfId="0" applyFont="1" applyAlignment="1">
      <alignment horizontal="left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0" fontId="0" fillId="0" borderId="0" xfId="0"/>
    <xf numFmtId="0" fontId="0" fillId="0" borderId="16" xfId="0" applyBorder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center"/>
    </xf>
  </cellXfs>
  <cellStyles count="8">
    <cellStyle name="1000-sep_KONTREG" xfId="7" xr:uid="{A4A9453D-DECB-4433-8842-9D945F6B0E3A}"/>
    <cellStyle name="Komma" xfId="1" builtinId="3"/>
    <cellStyle name="Normal" xfId="0" builtinId="0"/>
    <cellStyle name="Normal_Ark1" xfId="3" xr:uid="{00000000-0005-0000-0000-000002000000}"/>
    <cellStyle name="Normal_KONT97" xfId="5" xr:uid="{41E7C42E-BD39-4F88-976B-5195DF52D928}"/>
    <cellStyle name="Normal_KONTREG" xfId="6" xr:uid="{114C95D6-2994-4587-9236-FF02569DBF33}"/>
    <cellStyle name="Procent" xfId="2" builtinId="5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28"/>
  <sheetViews>
    <sheetView showGridLines="0" zoomScale="110" zoomScaleNormal="110" workbookViewId="0">
      <selection activeCell="L15" sqref="L15"/>
    </sheetView>
  </sheetViews>
  <sheetFormatPr defaultRowHeight="15" x14ac:dyDescent="0.25"/>
  <cols>
    <col min="1" max="1" width="35.7109375" customWidth="1"/>
    <col min="2" max="2" width="3.7109375" customWidth="1"/>
    <col min="3" max="3" width="14.42578125" style="5" bestFit="1" customWidth="1"/>
    <col min="4" max="4" width="3.7109375" style="5" customWidth="1"/>
    <col min="5" max="5" width="14.42578125" style="5" bestFit="1" customWidth="1"/>
    <col min="6" max="6" width="3.7109375" style="5" customWidth="1"/>
    <col min="7" max="7" width="15.7109375" style="5" customWidth="1"/>
    <col min="8" max="8" width="3.7109375" style="5" customWidth="1"/>
    <col min="9" max="9" width="15.5703125" style="44" customWidth="1"/>
    <col min="10" max="10" width="10" bestFit="1" customWidth="1"/>
  </cols>
  <sheetData>
    <row r="1" spans="1:12" ht="21" x14ac:dyDescent="0.35">
      <c r="A1" s="174" t="s">
        <v>318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2" ht="30" customHeight="1" x14ac:dyDescent="0.25">
      <c r="C2" s="50" t="s">
        <v>215</v>
      </c>
      <c r="D2" s="50"/>
      <c r="E2" s="50" t="s">
        <v>227</v>
      </c>
      <c r="F2" s="51"/>
      <c r="G2" s="50" t="s">
        <v>321</v>
      </c>
      <c r="H2" s="51"/>
      <c r="I2" s="125" t="s">
        <v>322</v>
      </c>
      <c r="J2" s="52"/>
      <c r="K2" s="52"/>
      <c r="L2" s="52"/>
    </row>
    <row r="3" spans="1:12" x14ac:dyDescent="0.25">
      <c r="A3" t="s">
        <v>64</v>
      </c>
      <c r="C3" s="44">
        <f>Indtægter!D8</f>
        <v>4341327</v>
      </c>
      <c r="D3" s="44"/>
      <c r="E3" s="44">
        <f>Indtægter!F8</f>
        <v>4423602</v>
      </c>
      <c r="G3" s="44">
        <f>Indtægter!H8</f>
        <v>4603161</v>
      </c>
      <c r="I3" s="62">
        <f>Indtægter!J8</f>
        <v>4510821.58</v>
      </c>
    </row>
    <row r="4" spans="1:12" x14ac:dyDescent="0.25">
      <c r="A4" t="s">
        <v>14</v>
      </c>
      <c r="C4" s="45">
        <f>Indtægter!D16</f>
        <v>147255</v>
      </c>
      <c r="D4" s="44"/>
      <c r="E4" s="45">
        <f>Indtægter!F16</f>
        <v>160483</v>
      </c>
      <c r="G4" s="45">
        <f>Indtægter!H16</f>
        <v>213381</v>
      </c>
      <c r="I4" s="63">
        <f>Indtægter!J16</f>
        <v>200000</v>
      </c>
    </row>
    <row r="5" spans="1:12" x14ac:dyDescent="0.25">
      <c r="C5" s="44"/>
      <c r="D5" s="44"/>
      <c r="E5" s="44"/>
      <c r="G5" s="44"/>
      <c r="I5" s="62"/>
    </row>
    <row r="6" spans="1:12" x14ac:dyDescent="0.25">
      <c r="A6" s="1" t="s">
        <v>1</v>
      </c>
      <c r="C6" s="46">
        <f>SUM(C3:C5)</f>
        <v>4488582</v>
      </c>
      <c r="D6" s="48"/>
      <c r="E6" s="46">
        <f>SUM(E3:E5)</f>
        <v>4584085</v>
      </c>
      <c r="F6" s="6"/>
      <c r="G6" s="46">
        <f>SUM(G3:G5)</f>
        <v>4816542</v>
      </c>
      <c r="H6" s="6"/>
      <c r="I6" s="64">
        <f>SUM(I3:I5)</f>
        <v>4710821.58</v>
      </c>
    </row>
    <row r="7" spans="1:12" x14ac:dyDescent="0.25">
      <c r="C7" s="44"/>
      <c r="D7" s="44"/>
      <c r="E7" s="44"/>
      <c r="G7" s="44"/>
      <c r="I7" s="62"/>
    </row>
    <row r="8" spans="1:12" x14ac:dyDescent="0.25">
      <c r="A8" t="s">
        <v>2</v>
      </c>
      <c r="C8" s="44">
        <f>Lønomkostninger!D6</f>
        <v>4152711</v>
      </c>
      <c r="D8" s="44"/>
      <c r="E8" s="44">
        <f>Lønomkostninger!F6</f>
        <v>3786504</v>
      </c>
      <c r="G8" s="44">
        <f>Lønomkostninger!H6</f>
        <v>3926465</v>
      </c>
      <c r="I8" s="62">
        <f>Lønomkostninger!J6</f>
        <v>3233479.0630493285</v>
      </c>
      <c r="J8" s="78"/>
    </row>
    <row r="9" spans="1:12" x14ac:dyDescent="0.25">
      <c r="A9" t="s">
        <v>4</v>
      </c>
      <c r="C9" s="44">
        <f>'Møder-, kursusudgifter'!D7</f>
        <v>443874</v>
      </c>
      <c r="D9" s="44"/>
      <c r="E9" s="44">
        <f>'Møder-, kursusudgifter'!F7</f>
        <v>223243</v>
      </c>
      <c r="G9" s="44">
        <f>'Møder-, kursusudgifter'!H7</f>
        <v>273418</v>
      </c>
      <c r="I9" s="62">
        <f>'Møder-, kursusudgifter'!J7</f>
        <v>237000</v>
      </c>
      <c r="K9" s="78"/>
    </row>
    <row r="10" spans="1:12" x14ac:dyDescent="0.25">
      <c r="A10" t="s">
        <v>3</v>
      </c>
      <c r="C10" s="44">
        <f>'Adm.omk.'!D7</f>
        <v>241387</v>
      </c>
      <c r="D10" s="44"/>
      <c r="E10" s="44">
        <f>'Adm.omk.'!F7</f>
        <v>334095</v>
      </c>
      <c r="G10" s="44">
        <f>'Adm.omk.'!H7</f>
        <v>368599</v>
      </c>
      <c r="I10" s="62">
        <f>'Adm.omk.'!J7</f>
        <v>618992.16666666663</v>
      </c>
    </row>
    <row r="11" spans="1:12" x14ac:dyDescent="0.25">
      <c r="A11" t="s">
        <v>5</v>
      </c>
      <c r="C11" s="45">
        <f>Ejendomsudg.!C6</f>
        <v>320237</v>
      </c>
      <c r="D11" s="44"/>
      <c r="E11" s="45">
        <f>Ejendomsudg.!E6</f>
        <v>249595</v>
      </c>
      <c r="G11" s="45">
        <f>Ejendomsudg.!G6</f>
        <v>405336</v>
      </c>
      <c r="I11" s="63">
        <f>Ejendomsudg.!I6</f>
        <v>360250.33333333331</v>
      </c>
      <c r="K11" s="78"/>
    </row>
    <row r="12" spans="1:12" x14ac:dyDescent="0.25">
      <c r="C12" s="44"/>
      <c r="D12" s="44"/>
      <c r="E12" s="44"/>
      <c r="G12" s="44"/>
      <c r="I12" s="62"/>
    </row>
    <row r="13" spans="1:12" x14ac:dyDescent="0.25">
      <c r="A13" s="1" t="s">
        <v>6</v>
      </c>
      <c r="C13" s="46">
        <f>SUM(C8:C11)</f>
        <v>5158209</v>
      </c>
      <c r="D13" s="44"/>
      <c r="E13" s="46">
        <f>SUM(E8:E11)</f>
        <v>4593437</v>
      </c>
      <c r="G13" s="46">
        <f>SUM(G8:G11)</f>
        <v>4973818</v>
      </c>
      <c r="I13" s="64">
        <f>SUM(I8:I11)</f>
        <v>4449721.5630493285</v>
      </c>
    </row>
    <row r="14" spans="1:12" x14ac:dyDescent="0.25">
      <c r="C14" s="44"/>
      <c r="D14" s="44"/>
      <c r="E14" s="44"/>
      <c r="G14" s="44"/>
      <c r="I14" s="62"/>
    </row>
    <row r="15" spans="1:12" x14ac:dyDescent="0.25">
      <c r="A15" s="1" t="s">
        <v>7</v>
      </c>
      <c r="B15" s="1"/>
      <c r="C15" s="48">
        <f>C6-C13</f>
        <v>-669627</v>
      </c>
      <c r="D15" s="47"/>
      <c r="E15" s="48">
        <f>E6-E13</f>
        <v>-9352</v>
      </c>
      <c r="F15" s="48"/>
      <c r="G15" s="48">
        <f>G6-G13</f>
        <v>-157276</v>
      </c>
      <c r="H15" s="48"/>
      <c r="I15" s="65">
        <f>I6-I13</f>
        <v>261100.01695067156</v>
      </c>
    </row>
    <row r="16" spans="1:12" x14ac:dyDescent="0.25">
      <c r="A16" t="s">
        <v>8</v>
      </c>
      <c r="C16" s="58">
        <f>Ejendomsudg.!C22</f>
        <v>66597</v>
      </c>
      <c r="D16" s="44"/>
      <c r="E16" s="58">
        <f>Ejendomsudg.!E22</f>
        <v>66597</v>
      </c>
      <c r="G16" s="58">
        <f>Ejendomsudg.!G22</f>
        <v>66597</v>
      </c>
      <c r="I16" s="66">
        <f>Ejendomsudg.!I22</f>
        <v>66597</v>
      </c>
    </row>
    <row r="17" spans="1:9" x14ac:dyDescent="0.25">
      <c r="C17" s="44"/>
      <c r="D17" s="44"/>
      <c r="E17" s="44"/>
      <c r="G17" s="44"/>
      <c r="I17" s="62"/>
    </row>
    <row r="18" spans="1:9" s="1" customFormat="1" x14ac:dyDescent="0.25">
      <c r="A18" s="1" t="s">
        <v>9</v>
      </c>
      <c r="C18" s="70">
        <f>C15-C16</f>
        <v>-736224</v>
      </c>
      <c r="D18" s="47"/>
      <c r="E18" s="70">
        <f>E15-E16</f>
        <v>-75949</v>
      </c>
      <c r="F18" s="48"/>
      <c r="G18" s="46">
        <f>G15-G16</f>
        <v>-223873</v>
      </c>
      <c r="H18" s="48"/>
      <c r="I18" s="64">
        <f>I15-I16</f>
        <v>194503.01695067156</v>
      </c>
    </row>
    <row r="19" spans="1:9" x14ac:dyDescent="0.25">
      <c r="A19" t="s">
        <v>10</v>
      </c>
      <c r="C19" s="57">
        <f>'Finansielle poster'!D6</f>
        <v>60310</v>
      </c>
      <c r="D19" s="57"/>
      <c r="E19" s="57">
        <f>'Finansielle poster'!F6</f>
        <v>182221</v>
      </c>
      <c r="F19" s="56"/>
      <c r="G19" s="57">
        <f>'Finansielle poster'!H6</f>
        <v>212220</v>
      </c>
      <c r="H19" s="56"/>
      <c r="I19" s="67">
        <f>'Finansielle poster'!J6</f>
        <v>193250</v>
      </c>
    </row>
    <row r="20" spans="1:9" x14ac:dyDescent="0.25">
      <c r="C20" s="44"/>
      <c r="D20" s="44"/>
      <c r="E20" s="44"/>
      <c r="G20" s="44"/>
      <c r="I20" s="62"/>
    </row>
    <row r="21" spans="1:9" s="1" customFormat="1" x14ac:dyDescent="0.25">
      <c r="A21" s="1" t="s">
        <v>11</v>
      </c>
      <c r="C21" s="71">
        <f>C18-C19</f>
        <v>-796534</v>
      </c>
      <c r="D21" s="47"/>
      <c r="E21" s="71">
        <f>E18-E19</f>
        <v>-258170</v>
      </c>
      <c r="F21" s="48"/>
      <c r="G21" s="48">
        <f>G18-G19</f>
        <v>-436093</v>
      </c>
      <c r="H21" s="48"/>
      <c r="I21" s="65">
        <f>I18-I19</f>
        <v>1253.0169506715611</v>
      </c>
    </row>
    <row r="22" spans="1:9" x14ac:dyDescent="0.25">
      <c r="A22" t="s">
        <v>12</v>
      </c>
      <c r="C22" s="58">
        <f>Ejendomsudg.!C24</f>
        <v>0</v>
      </c>
      <c r="D22" s="44"/>
      <c r="E22" s="58">
        <f>Ejendomsudg.!E24</f>
        <v>0</v>
      </c>
      <c r="G22" s="58">
        <f>Ejendomsudg.!G24</f>
        <v>0</v>
      </c>
      <c r="I22" s="58">
        <f>Ejendomsudg.!I24</f>
        <v>0</v>
      </c>
    </row>
    <row r="23" spans="1:9" x14ac:dyDescent="0.25">
      <c r="C23" s="44"/>
      <c r="D23" s="44"/>
      <c r="E23" s="44"/>
      <c r="G23" s="44"/>
      <c r="I23" s="62"/>
    </row>
    <row r="24" spans="1:9" s="1" customFormat="1" x14ac:dyDescent="0.25">
      <c r="A24" s="1" t="s">
        <v>62</v>
      </c>
      <c r="C24" s="72">
        <f>C21-C22</f>
        <v>-796534</v>
      </c>
      <c r="D24" s="47"/>
      <c r="E24" s="72">
        <f>E21-E22</f>
        <v>-258170</v>
      </c>
      <c r="F24" s="48"/>
      <c r="G24" s="59">
        <f>G21-G22</f>
        <v>-436093</v>
      </c>
      <c r="H24" s="48"/>
      <c r="I24" s="68">
        <f>I21-I22</f>
        <v>1253.0169506715611</v>
      </c>
    </row>
    <row r="26" spans="1:9" x14ac:dyDescent="0.25">
      <c r="A26" t="s">
        <v>218</v>
      </c>
      <c r="G26" s="5">
        <v>146419</v>
      </c>
    </row>
    <row r="27" spans="1:9" x14ac:dyDescent="0.25">
      <c r="A27" t="s">
        <v>49</v>
      </c>
      <c r="C27" s="5">
        <f>'Møder-, kursusudgifter'!D34</f>
        <v>-210970</v>
      </c>
      <c r="E27" s="5">
        <f>'Møder-, kursusudgifter'!F34</f>
        <v>0</v>
      </c>
      <c r="G27" s="44">
        <f>'Møder-, kursusudgifter'!H34</f>
        <v>0</v>
      </c>
      <c r="I27" s="5">
        <f>'Møder-, kursusudgifter'!J34</f>
        <v>0</v>
      </c>
    </row>
    <row r="28" spans="1:9" x14ac:dyDescent="0.25">
      <c r="A28" s="1" t="s">
        <v>63</v>
      </c>
      <c r="C28" s="77">
        <f>C24-C27</f>
        <v>-585564</v>
      </c>
      <c r="E28" s="77">
        <f>E24-E27</f>
        <v>-258170</v>
      </c>
      <c r="G28" s="59">
        <f>G24+G26</f>
        <v>-289674</v>
      </c>
      <c r="I28" s="59">
        <f>I24+I26</f>
        <v>1253.0169506715611</v>
      </c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>
    <oddFooter>&amp;R
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2"/>
  <dimension ref="A1:W30"/>
  <sheetViews>
    <sheetView showGridLines="0" topLeftCell="B1" workbookViewId="0">
      <selection activeCell="D14" sqref="D14"/>
    </sheetView>
  </sheetViews>
  <sheetFormatPr defaultRowHeight="15" x14ac:dyDescent="0.25"/>
  <cols>
    <col min="1" max="1" width="37.42578125" customWidth="1"/>
    <col min="2" max="2" width="35.7109375" customWidth="1"/>
    <col min="3" max="3" width="9" customWidth="1"/>
    <col min="4" max="6" width="14.7109375" customWidth="1"/>
    <col min="10" max="10" width="17.140625" bestFit="1" customWidth="1"/>
    <col min="12" max="12" width="15.85546875" customWidth="1"/>
    <col min="13" max="13" width="14.28515625" customWidth="1"/>
    <col min="14" max="14" width="14.5703125" customWidth="1"/>
    <col min="15" max="15" width="14.42578125" customWidth="1"/>
    <col min="16" max="16" width="11.28515625" bestFit="1" customWidth="1"/>
    <col min="19" max="21" width="11.85546875" bestFit="1" customWidth="1"/>
    <col min="22" max="22" width="2.85546875" customWidth="1"/>
    <col min="23" max="23" width="16.7109375" customWidth="1"/>
  </cols>
  <sheetData>
    <row r="1" spans="1:23" ht="21.4" customHeight="1" x14ac:dyDescent="0.35">
      <c r="A1" s="181" t="str">
        <f>'Budget oversigt'!A1:I1</f>
        <v>FOA Mariagerfjord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23" ht="21.4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/>
    </row>
    <row r="3" spans="1:23" ht="72.75" thickBot="1" x14ac:dyDescent="0.3">
      <c r="A3" s="40" t="s">
        <v>31</v>
      </c>
      <c r="B3" s="40" t="s">
        <v>32</v>
      </c>
      <c r="C3" s="13" t="s">
        <v>187</v>
      </c>
      <c r="D3" s="13" t="s">
        <v>188</v>
      </c>
      <c r="E3" s="13" t="s">
        <v>33</v>
      </c>
      <c r="F3" s="13" t="s">
        <v>192</v>
      </c>
      <c r="G3" s="13" t="s">
        <v>181</v>
      </c>
      <c r="H3" s="13" t="s">
        <v>182</v>
      </c>
      <c r="I3" s="13" t="s">
        <v>183</v>
      </c>
      <c r="J3" s="13" t="s">
        <v>34</v>
      </c>
      <c r="K3" s="14" t="s">
        <v>35</v>
      </c>
      <c r="L3" s="13" t="s">
        <v>36</v>
      </c>
      <c r="M3" s="13" t="s">
        <v>37</v>
      </c>
      <c r="N3" s="13" t="s">
        <v>189</v>
      </c>
      <c r="O3" s="13" t="s">
        <v>38</v>
      </c>
      <c r="P3" s="15" t="s">
        <v>39</v>
      </c>
      <c r="Q3" s="13" t="s">
        <v>40</v>
      </c>
      <c r="R3" s="16" t="s">
        <v>78</v>
      </c>
      <c r="S3" s="116" t="s">
        <v>184</v>
      </c>
      <c r="T3" s="116" t="s">
        <v>185</v>
      </c>
      <c r="U3" s="116" t="s">
        <v>186</v>
      </c>
      <c r="V3" s="116"/>
      <c r="W3" s="13" t="s">
        <v>190</v>
      </c>
    </row>
    <row r="4" spans="1:23" ht="15.75" thickBot="1" x14ac:dyDescent="0.3">
      <c r="A4" s="17"/>
      <c r="B4" s="18"/>
      <c r="C4" s="18"/>
      <c r="D4" s="18"/>
      <c r="E4" s="19"/>
      <c r="F4" s="18"/>
      <c r="G4" s="118">
        <v>0</v>
      </c>
      <c r="H4" s="118">
        <v>1.4999999999999999E-2</v>
      </c>
      <c r="I4" s="118">
        <v>0.01</v>
      </c>
      <c r="J4" s="17"/>
      <c r="K4" s="20"/>
      <c r="L4" s="17"/>
      <c r="M4" s="21"/>
      <c r="N4" s="39">
        <v>189.35</v>
      </c>
      <c r="O4" s="119">
        <v>6.3700000000000007E-2</v>
      </c>
      <c r="P4" s="17"/>
      <c r="Q4" s="22"/>
      <c r="R4" s="17"/>
    </row>
    <row r="5" spans="1:23" x14ac:dyDescent="0.25">
      <c r="A5" s="82" t="s">
        <v>243</v>
      </c>
      <c r="B5" s="43" t="s">
        <v>68</v>
      </c>
      <c r="C5" s="43">
        <v>49</v>
      </c>
      <c r="D5" s="23">
        <v>47844.33</v>
      </c>
      <c r="E5" s="24">
        <v>3456.18</v>
      </c>
      <c r="F5" s="24">
        <v>275</v>
      </c>
      <c r="G5" s="25">
        <f t="shared" ref="G5:G18" si="0">(D5+E5)*$G$4</f>
        <v>0</v>
      </c>
      <c r="H5" s="25">
        <f t="shared" ref="H5:H18" si="1">(D5+E5+G5)*$H$4</f>
        <v>769.50765000000001</v>
      </c>
      <c r="I5" s="25">
        <f t="shared" ref="I5:I18" si="2">(D5+E5+G5+H5)*$I$4</f>
        <v>520.7001765</v>
      </c>
      <c r="J5" s="26">
        <f t="shared" ref="J5:J18" si="3">(D5+E5+F5+G5+H5+I5)*K5</f>
        <v>634388.61391800002</v>
      </c>
      <c r="K5" s="27">
        <v>12</v>
      </c>
      <c r="L5" s="28">
        <f t="shared" ref="L5:L18" si="4">(J5)*Q5</f>
        <v>79932.965353667998</v>
      </c>
      <c r="M5" s="26">
        <f t="shared" ref="M5:M17" si="5">(J5+L5/3)*R5</f>
        <v>13220.658714051122</v>
      </c>
      <c r="N5" s="26">
        <f t="shared" ref="N5:N14" si="6">IF(J5=0,0,$N$4*K5)</f>
        <v>2272.1999999999998</v>
      </c>
      <c r="O5" s="29">
        <f t="shared" ref="O5:O18" si="7">((J5+L5+M5+N5)*P5)*$O$4</f>
        <v>44629.612511702697</v>
      </c>
      <c r="P5" s="30">
        <v>0.96</v>
      </c>
      <c r="Q5" s="30">
        <v>0.126</v>
      </c>
      <c r="R5" s="30">
        <v>0.02</v>
      </c>
      <c r="S5" s="60">
        <f t="shared" ref="S5:S18" si="8">D5+E5+F5+G5</f>
        <v>51575.51</v>
      </c>
      <c r="T5" s="60">
        <f t="shared" ref="T5:T18" si="9">D5+E5+F5+G5+H5</f>
        <v>52345.017650000002</v>
      </c>
      <c r="U5" s="60">
        <f t="shared" ref="U5:U18" si="10">D5+E5+F5+G5+H5+I5</f>
        <v>52865.717826500004</v>
      </c>
      <c r="V5" s="60"/>
    </row>
    <row r="6" spans="1:23" x14ac:dyDescent="0.25">
      <c r="A6" s="43" t="s">
        <v>245</v>
      </c>
      <c r="B6" s="43" t="s">
        <v>71</v>
      </c>
      <c r="C6" s="43">
        <v>47</v>
      </c>
      <c r="D6" s="23">
        <v>42865</v>
      </c>
      <c r="E6" s="24">
        <v>3833.8</v>
      </c>
      <c r="F6" s="24">
        <v>275</v>
      </c>
      <c r="G6" s="25">
        <f t="shared" si="0"/>
        <v>0</v>
      </c>
      <c r="H6" s="25">
        <f t="shared" si="1"/>
        <v>700.48199999999997</v>
      </c>
      <c r="I6" s="25">
        <f t="shared" si="2"/>
        <v>473.99282000000005</v>
      </c>
      <c r="J6" s="26">
        <f t="shared" si="3"/>
        <v>866668.94676000008</v>
      </c>
      <c r="K6" s="27">
        <v>18</v>
      </c>
      <c r="L6" s="28">
        <f t="shared" si="4"/>
        <v>109200.28729176002</v>
      </c>
      <c r="M6" s="26">
        <f t="shared" si="5"/>
        <v>18061.380850478403</v>
      </c>
      <c r="N6" s="26">
        <f t="shared" si="6"/>
        <v>3408.2999999999997</v>
      </c>
      <c r="O6" s="29">
        <f t="shared" si="7"/>
        <v>60989.26932410169</v>
      </c>
      <c r="P6" s="30">
        <v>0.96</v>
      </c>
      <c r="Q6" s="30">
        <v>0.126</v>
      </c>
      <c r="R6" s="30">
        <v>0.02</v>
      </c>
      <c r="S6" s="60">
        <f t="shared" si="8"/>
        <v>46973.8</v>
      </c>
      <c r="T6" s="60">
        <f t="shared" si="9"/>
        <v>47674.282000000007</v>
      </c>
      <c r="U6" s="60">
        <f t="shared" si="10"/>
        <v>48148.274820000006</v>
      </c>
      <c r="V6" s="60"/>
    </row>
    <row r="7" spans="1:23" x14ac:dyDescent="0.25">
      <c r="A7" s="121" t="s">
        <v>244</v>
      </c>
      <c r="B7" s="43" t="s">
        <v>69</v>
      </c>
      <c r="C7" s="121">
        <v>47</v>
      </c>
      <c r="D7" s="122">
        <v>42865</v>
      </c>
      <c r="E7" s="24">
        <v>3833.8</v>
      </c>
      <c r="F7" s="24">
        <v>275</v>
      </c>
      <c r="G7" s="25">
        <f t="shared" si="0"/>
        <v>0</v>
      </c>
      <c r="H7" s="25">
        <f t="shared" si="1"/>
        <v>700.48199999999997</v>
      </c>
      <c r="I7" s="25">
        <f t="shared" si="2"/>
        <v>473.99282000000005</v>
      </c>
      <c r="J7" s="26">
        <f t="shared" si="3"/>
        <v>577779.29784000013</v>
      </c>
      <c r="K7" s="27">
        <v>12</v>
      </c>
      <c r="L7" s="28">
        <f t="shared" si="4"/>
        <v>72800.191527840012</v>
      </c>
      <c r="M7" s="26">
        <f t="shared" si="5"/>
        <v>12040.920566985602</v>
      </c>
      <c r="N7" s="26">
        <f t="shared" si="6"/>
        <v>2272.1999999999998</v>
      </c>
      <c r="O7" s="29">
        <f t="shared" si="7"/>
        <v>40659.512882734467</v>
      </c>
      <c r="P7" s="30">
        <v>0.96</v>
      </c>
      <c r="Q7" s="30">
        <v>0.126</v>
      </c>
      <c r="R7" s="30">
        <v>0.02</v>
      </c>
      <c r="S7" s="60">
        <f t="shared" si="8"/>
        <v>46973.8</v>
      </c>
      <c r="T7" s="60">
        <f t="shared" si="9"/>
        <v>47674.282000000007</v>
      </c>
      <c r="U7" s="60">
        <f t="shared" si="10"/>
        <v>48148.274820000006</v>
      </c>
      <c r="V7" s="60"/>
    </row>
    <row r="8" spans="1:23" x14ac:dyDescent="0.25">
      <c r="A8" s="121"/>
      <c r="B8" s="43"/>
      <c r="C8" s="121"/>
      <c r="D8" s="23"/>
      <c r="E8" s="24"/>
      <c r="F8" s="24"/>
      <c r="G8" s="25">
        <f t="shared" si="0"/>
        <v>0</v>
      </c>
      <c r="H8" s="25">
        <f t="shared" si="1"/>
        <v>0</v>
      </c>
      <c r="I8" s="25">
        <f t="shared" si="2"/>
        <v>0</v>
      </c>
      <c r="J8" s="26">
        <f t="shared" si="3"/>
        <v>0</v>
      </c>
      <c r="K8" s="27">
        <v>12</v>
      </c>
      <c r="L8" s="28">
        <f t="shared" si="4"/>
        <v>0</v>
      </c>
      <c r="M8" s="26">
        <f t="shared" si="5"/>
        <v>0</v>
      </c>
      <c r="N8" s="26">
        <f t="shared" si="6"/>
        <v>0</v>
      </c>
      <c r="O8" s="29">
        <f t="shared" si="7"/>
        <v>0</v>
      </c>
      <c r="P8" s="30">
        <v>0.96</v>
      </c>
      <c r="Q8" s="30">
        <v>0.126</v>
      </c>
      <c r="R8" s="30">
        <v>0.02</v>
      </c>
      <c r="S8" s="60">
        <f t="shared" si="8"/>
        <v>0</v>
      </c>
      <c r="T8" s="60">
        <f t="shared" si="9"/>
        <v>0</v>
      </c>
      <c r="U8" s="60">
        <f t="shared" si="10"/>
        <v>0</v>
      </c>
      <c r="V8" s="60"/>
    </row>
    <row r="9" spans="1:23" x14ac:dyDescent="0.25">
      <c r="A9" s="121"/>
      <c r="B9" s="43"/>
      <c r="C9" s="121"/>
      <c r="D9" s="23"/>
      <c r="E9" s="24"/>
      <c r="F9" s="24"/>
      <c r="G9" s="25">
        <f t="shared" si="0"/>
        <v>0</v>
      </c>
      <c r="H9" s="25">
        <f t="shared" si="1"/>
        <v>0</v>
      </c>
      <c r="I9" s="25">
        <f t="shared" si="2"/>
        <v>0</v>
      </c>
      <c r="J9" s="26">
        <f t="shared" si="3"/>
        <v>0</v>
      </c>
      <c r="K9" s="27">
        <v>12</v>
      </c>
      <c r="L9" s="28">
        <f t="shared" si="4"/>
        <v>0</v>
      </c>
      <c r="M9" s="26">
        <f t="shared" si="5"/>
        <v>0</v>
      </c>
      <c r="N9" s="26">
        <f t="shared" si="6"/>
        <v>0</v>
      </c>
      <c r="O9" s="29">
        <f t="shared" si="7"/>
        <v>0</v>
      </c>
      <c r="P9" s="30">
        <v>0.96</v>
      </c>
      <c r="Q9" s="30">
        <v>0.126</v>
      </c>
      <c r="R9" s="30">
        <v>0.02</v>
      </c>
      <c r="S9" s="60">
        <f t="shared" si="8"/>
        <v>0</v>
      </c>
      <c r="T9" s="60">
        <f t="shared" si="9"/>
        <v>0</v>
      </c>
      <c r="U9" s="60">
        <f t="shared" si="10"/>
        <v>0</v>
      </c>
      <c r="V9" s="60"/>
    </row>
    <row r="10" spans="1:23" x14ac:dyDescent="0.25">
      <c r="A10" s="121"/>
      <c r="B10" s="43"/>
      <c r="C10" s="121"/>
      <c r="D10" s="23"/>
      <c r="E10" s="24"/>
      <c r="F10" s="24"/>
      <c r="G10" s="25">
        <f t="shared" si="0"/>
        <v>0</v>
      </c>
      <c r="H10" s="25">
        <f t="shared" si="1"/>
        <v>0</v>
      </c>
      <c r="I10" s="25">
        <f t="shared" si="2"/>
        <v>0</v>
      </c>
      <c r="J10" s="26">
        <f t="shared" si="3"/>
        <v>0</v>
      </c>
      <c r="K10" s="27">
        <v>12</v>
      </c>
      <c r="L10" s="28">
        <f t="shared" si="4"/>
        <v>0</v>
      </c>
      <c r="M10" s="26">
        <f t="shared" si="5"/>
        <v>0</v>
      </c>
      <c r="N10" s="26">
        <f t="shared" si="6"/>
        <v>0</v>
      </c>
      <c r="O10" s="29">
        <f t="shared" si="7"/>
        <v>0</v>
      </c>
      <c r="P10" s="30">
        <v>0.96</v>
      </c>
      <c r="Q10" s="30">
        <v>0.126</v>
      </c>
      <c r="R10" s="30">
        <v>0.02</v>
      </c>
      <c r="S10" s="60">
        <f t="shared" si="8"/>
        <v>0</v>
      </c>
      <c r="T10" s="60">
        <f t="shared" si="9"/>
        <v>0</v>
      </c>
      <c r="U10" s="60">
        <f t="shared" si="10"/>
        <v>0</v>
      </c>
      <c r="V10" s="60"/>
    </row>
    <row r="11" spans="1:23" x14ac:dyDescent="0.25">
      <c r="A11" s="43"/>
      <c r="B11" s="43"/>
      <c r="C11" s="43"/>
      <c r="D11" s="23"/>
      <c r="E11" s="24"/>
      <c r="F11" s="24"/>
      <c r="G11" s="25">
        <f t="shared" si="0"/>
        <v>0</v>
      </c>
      <c r="H11" s="25">
        <f t="shared" si="1"/>
        <v>0</v>
      </c>
      <c r="I11" s="25">
        <f t="shared" si="2"/>
        <v>0</v>
      </c>
      <c r="J11" s="26">
        <f t="shared" si="3"/>
        <v>0</v>
      </c>
      <c r="K11" s="27">
        <v>12</v>
      </c>
      <c r="L11" s="28">
        <f t="shared" si="4"/>
        <v>0</v>
      </c>
      <c r="M11" s="26">
        <f t="shared" si="5"/>
        <v>0</v>
      </c>
      <c r="N11" s="26">
        <f t="shared" si="6"/>
        <v>0</v>
      </c>
      <c r="O11" s="29">
        <f t="shared" si="7"/>
        <v>0</v>
      </c>
      <c r="P11" s="30">
        <v>0.96</v>
      </c>
      <c r="Q11" s="30">
        <v>0.126</v>
      </c>
      <c r="R11" s="30">
        <v>0.02</v>
      </c>
      <c r="S11" s="60">
        <f t="shared" si="8"/>
        <v>0</v>
      </c>
      <c r="T11" s="60">
        <f t="shared" si="9"/>
        <v>0</v>
      </c>
      <c r="U11" s="60">
        <f t="shared" si="10"/>
        <v>0</v>
      </c>
      <c r="V11" s="60"/>
    </row>
    <row r="12" spans="1:23" x14ac:dyDescent="0.25">
      <c r="A12" s="43" t="s">
        <v>247</v>
      </c>
      <c r="B12" s="43" t="s">
        <v>70</v>
      </c>
      <c r="C12" s="43">
        <v>27</v>
      </c>
      <c r="D12" s="23">
        <v>29791.17</v>
      </c>
      <c r="E12" s="24"/>
      <c r="F12" s="24">
        <v>1996.01</v>
      </c>
      <c r="G12" s="25">
        <f t="shared" si="0"/>
        <v>0</v>
      </c>
      <c r="H12" s="25">
        <f t="shared" si="1"/>
        <v>446.86754999999994</v>
      </c>
      <c r="I12" s="25">
        <f t="shared" si="2"/>
        <v>302.38037549999996</v>
      </c>
      <c r="J12" s="26">
        <f t="shared" si="3"/>
        <v>390437.13510599994</v>
      </c>
      <c r="K12" s="27">
        <v>12</v>
      </c>
      <c r="L12" s="28">
        <f t="shared" si="4"/>
        <v>49195.079023355996</v>
      </c>
      <c r="M12" s="26">
        <f t="shared" si="5"/>
        <v>8136.7098956090385</v>
      </c>
      <c r="N12" s="26">
        <f t="shared" si="6"/>
        <v>2272.1999999999998</v>
      </c>
      <c r="O12" s="29">
        <f t="shared" si="7"/>
        <v>27520.914816374665</v>
      </c>
      <c r="P12" s="30">
        <v>0.96</v>
      </c>
      <c r="Q12" s="30">
        <v>0.126</v>
      </c>
      <c r="R12" s="30">
        <v>0.02</v>
      </c>
      <c r="S12" s="60">
        <f t="shared" si="8"/>
        <v>31787.179999999997</v>
      </c>
      <c r="T12" s="60">
        <f t="shared" si="9"/>
        <v>32234.047549999996</v>
      </c>
      <c r="U12" s="60">
        <f t="shared" si="10"/>
        <v>32536.427925499996</v>
      </c>
      <c r="V12" s="60"/>
    </row>
    <row r="13" spans="1:23" x14ac:dyDescent="0.25">
      <c r="A13" s="43"/>
      <c r="B13" s="43"/>
      <c r="C13" s="43"/>
      <c r="D13" s="122"/>
      <c r="E13" s="24"/>
      <c r="F13" s="24"/>
      <c r="G13" s="25">
        <f t="shared" si="0"/>
        <v>0</v>
      </c>
      <c r="H13" s="25">
        <f t="shared" si="1"/>
        <v>0</v>
      </c>
      <c r="I13" s="25">
        <f t="shared" si="2"/>
        <v>0</v>
      </c>
      <c r="J13" s="26">
        <f t="shared" si="3"/>
        <v>0</v>
      </c>
      <c r="K13" s="27">
        <v>12</v>
      </c>
      <c r="L13" s="28">
        <f t="shared" si="4"/>
        <v>0</v>
      </c>
      <c r="M13" s="26">
        <f t="shared" si="5"/>
        <v>0</v>
      </c>
      <c r="N13" s="26">
        <f t="shared" si="6"/>
        <v>0</v>
      </c>
      <c r="O13" s="29">
        <f t="shared" si="7"/>
        <v>0</v>
      </c>
      <c r="P13" s="30">
        <v>0.96</v>
      </c>
      <c r="Q13" s="30">
        <v>0.16500000000000001</v>
      </c>
      <c r="R13" s="30">
        <v>0.02</v>
      </c>
      <c r="S13" s="60">
        <f t="shared" si="8"/>
        <v>0</v>
      </c>
      <c r="T13" s="60">
        <f t="shared" si="9"/>
        <v>0</v>
      </c>
      <c r="U13" s="60">
        <f t="shared" si="10"/>
        <v>0</v>
      </c>
      <c r="V13" s="60"/>
    </row>
    <row r="14" spans="1:23" x14ac:dyDescent="0.25">
      <c r="A14" s="43" t="s">
        <v>246</v>
      </c>
      <c r="B14" s="43"/>
      <c r="C14" s="43"/>
      <c r="D14" s="122"/>
      <c r="E14" s="24"/>
      <c r="F14" s="24"/>
      <c r="G14" s="25">
        <f t="shared" si="0"/>
        <v>0</v>
      </c>
      <c r="H14" s="25">
        <f t="shared" si="1"/>
        <v>0</v>
      </c>
      <c r="I14" s="25">
        <f t="shared" si="2"/>
        <v>0</v>
      </c>
      <c r="J14" s="26">
        <f t="shared" si="3"/>
        <v>0</v>
      </c>
      <c r="K14" s="27">
        <v>12</v>
      </c>
      <c r="L14" s="28">
        <f t="shared" si="4"/>
        <v>0</v>
      </c>
      <c r="M14" s="26">
        <f t="shared" si="5"/>
        <v>0</v>
      </c>
      <c r="N14" s="26">
        <f t="shared" si="6"/>
        <v>0</v>
      </c>
      <c r="O14" s="29">
        <f t="shared" si="7"/>
        <v>0</v>
      </c>
      <c r="P14" s="30">
        <v>0.96</v>
      </c>
      <c r="Q14" s="30">
        <v>0</v>
      </c>
      <c r="R14" s="30">
        <v>0.02</v>
      </c>
      <c r="S14" s="60">
        <f t="shared" si="8"/>
        <v>0</v>
      </c>
      <c r="T14" s="60">
        <f t="shared" si="9"/>
        <v>0</v>
      </c>
      <c r="U14" s="60">
        <f t="shared" si="10"/>
        <v>0</v>
      </c>
      <c r="V14" s="60"/>
    </row>
    <row r="15" spans="1:23" x14ac:dyDescent="0.25">
      <c r="A15" s="43"/>
      <c r="B15" s="43"/>
      <c r="C15" s="43"/>
      <c r="D15" s="23"/>
      <c r="E15" s="24"/>
      <c r="F15" s="24"/>
      <c r="G15" s="25">
        <f t="shared" si="0"/>
        <v>0</v>
      </c>
      <c r="H15" s="25">
        <f t="shared" si="1"/>
        <v>0</v>
      </c>
      <c r="I15" s="25">
        <f t="shared" si="2"/>
        <v>0</v>
      </c>
      <c r="J15" s="26">
        <f t="shared" si="3"/>
        <v>0</v>
      </c>
      <c r="K15" s="27">
        <v>2</v>
      </c>
      <c r="L15" s="28">
        <f>(J15)*Q15</f>
        <v>0</v>
      </c>
      <c r="M15" s="26">
        <f t="shared" si="5"/>
        <v>0</v>
      </c>
      <c r="N15" s="26">
        <v>0</v>
      </c>
      <c r="O15" s="29">
        <f t="shared" si="7"/>
        <v>0</v>
      </c>
      <c r="P15" s="30">
        <v>0.96</v>
      </c>
      <c r="Q15" s="30">
        <v>0.125</v>
      </c>
      <c r="R15" s="30">
        <v>0.02</v>
      </c>
      <c r="S15" s="60">
        <f t="shared" si="8"/>
        <v>0</v>
      </c>
      <c r="T15" s="60">
        <f t="shared" si="9"/>
        <v>0</v>
      </c>
      <c r="U15" s="60">
        <f t="shared" si="10"/>
        <v>0</v>
      </c>
      <c r="V15" s="60"/>
    </row>
    <row r="16" spans="1:23" x14ac:dyDescent="0.25">
      <c r="A16" s="43"/>
      <c r="B16" s="43"/>
      <c r="C16" s="43"/>
      <c r="D16" s="23"/>
      <c r="E16" s="24"/>
      <c r="F16" s="24"/>
      <c r="G16" s="25">
        <f t="shared" si="0"/>
        <v>0</v>
      </c>
      <c r="H16" s="25">
        <f t="shared" si="1"/>
        <v>0</v>
      </c>
      <c r="I16" s="25">
        <f t="shared" si="2"/>
        <v>0</v>
      </c>
      <c r="J16" s="26">
        <f t="shared" si="3"/>
        <v>0</v>
      </c>
      <c r="K16" s="27">
        <v>12</v>
      </c>
      <c r="L16" s="28">
        <f>(J16)*Q16</f>
        <v>0</v>
      </c>
      <c r="M16" s="26">
        <f t="shared" si="5"/>
        <v>0</v>
      </c>
      <c r="N16" s="26">
        <v>0</v>
      </c>
      <c r="O16" s="29">
        <f t="shared" si="7"/>
        <v>0</v>
      </c>
      <c r="P16" s="30">
        <v>0.96</v>
      </c>
      <c r="Q16" s="30">
        <v>0.126</v>
      </c>
      <c r="R16" s="30">
        <v>0.02</v>
      </c>
      <c r="S16" s="60">
        <f t="shared" si="8"/>
        <v>0</v>
      </c>
      <c r="T16" s="60">
        <f t="shared" si="9"/>
        <v>0</v>
      </c>
      <c r="U16" s="60">
        <f t="shared" si="10"/>
        <v>0</v>
      </c>
      <c r="V16" s="60"/>
    </row>
    <row r="17" spans="1:22" x14ac:dyDescent="0.25">
      <c r="A17" s="43"/>
      <c r="B17" s="43"/>
      <c r="C17" s="121">
        <v>0</v>
      </c>
      <c r="D17" s="23"/>
      <c r="E17" s="24"/>
      <c r="F17" s="124"/>
      <c r="G17" s="25">
        <f t="shared" si="0"/>
        <v>0</v>
      </c>
      <c r="H17" s="25">
        <f t="shared" si="1"/>
        <v>0</v>
      </c>
      <c r="I17" s="25">
        <f t="shared" si="2"/>
        <v>0</v>
      </c>
      <c r="J17" s="26">
        <f t="shared" si="3"/>
        <v>0</v>
      </c>
      <c r="K17" s="27">
        <v>12</v>
      </c>
      <c r="L17" s="28">
        <f t="shared" si="4"/>
        <v>0</v>
      </c>
      <c r="M17" s="26">
        <f t="shared" si="5"/>
        <v>0</v>
      </c>
      <c r="N17" s="26">
        <v>0</v>
      </c>
      <c r="O17" s="29">
        <f t="shared" si="7"/>
        <v>0</v>
      </c>
      <c r="P17" s="30">
        <v>0.96</v>
      </c>
      <c r="Q17" s="31">
        <v>0</v>
      </c>
      <c r="R17" s="83">
        <v>2.4500000000000001E-2</v>
      </c>
      <c r="S17" s="60">
        <f t="shared" si="8"/>
        <v>0</v>
      </c>
      <c r="T17" s="60">
        <f t="shared" si="9"/>
        <v>0</v>
      </c>
      <c r="U17" s="60">
        <f t="shared" si="10"/>
        <v>0</v>
      </c>
      <c r="V17" s="60"/>
    </row>
    <row r="18" spans="1:22" x14ac:dyDescent="0.25">
      <c r="A18" s="43"/>
      <c r="B18" s="43"/>
      <c r="C18" s="43">
        <v>0</v>
      </c>
      <c r="D18" s="23"/>
      <c r="E18" s="24"/>
      <c r="F18" s="24"/>
      <c r="G18" s="25">
        <f t="shared" si="0"/>
        <v>0</v>
      </c>
      <c r="H18" s="25">
        <f t="shared" si="1"/>
        <v>0</v>
      </c>
      <c r="I18" s="25">
        <f t="shared" si="2"/>
        <v>0</v>
      </c>
      <c r="J18" s="26">
        <f t="shared" si="3"/>
        <v>0</v>
      </c>
      <c r="K18" s="27">
        <v>12</v>
      </c>
      <c r="L18" s="28">
        <f t="shared" si="4"/>
        <v>0</v>
      </c>
      <c r="M18" s="26">
        <f>(J18)*R18</f>
        <v>0</v>
      </c>
      <c r="N18" s="26">
        <v>0</v>
      </c>
      <c r="O18" s="29">
        <f t="shared" si="7"/>
        <v>0</v>
      </c>
      <c r="P18" s="30">
        <v>0.96</v>
      </c>
      <c r="Q18" s="31">
        <v>0</v>
      </c>
      <c r="R18" s="83">
        <v>2.4500000000000001E-2</v>
      </c>
      <c r="S18" s="60">
        <f t="shared" si="8"/>
        <v>0</v>
      </c>
      <c r="T18" s="60">
        <f t="shared" si="9"/>
        <v>0</v>
      </c>
      <c r="U18" s="60">
        <f t="shared" si="10"/>
        <v>0</v>
      </c>
      <c r="V18" s="60"/>
    </row>
    <row r="19" spans="1:22" x14ac:dyDescent="0.25">
      <c r="A19" s="42" t="s">
        <v>47</v>
      </c>
      <c r="B19" s="28"/>
      <c r="C19" s="28"/>
      <c r="D19" s="28"/>
      <c r="E19" s="28"/>
      <c r="F19" s="28"/>
      <c r="G19" s="32"/>
      <c r="H19" s="32"/>
      <c r="I19" s="32"/>
      <c r="J19" s="33">
        <f>SUM(J5:J18)</f>
        <v>2469273.9936240003</v>
      </c>
      <c r="K19" s="34"/>
      <c r="L19" s="28">
        <f>SUM(L5:L18)</f>
        <v>311128.52319662401</v>
      </c>
      <c r="M19" s="26">
        <f>SUM(M5:M18)</f>
        <v>51459.670027124164</v>
      </c>
      <c r="N19" s="26">
        <f>SUM(N5:N18)</f>
        <v>10224.9</v>
      </c>
      <c r="O19" s="26">
        <f>SUM(O5:O18)</f>
        <v>173799.30953491351</v>
      </c>
      <c r="P19" s="35"/>
      <c r="Q19" s="35"/>
      <c r="R19" s="36"/>
      <c r="S19" s="60"/>
      <c r="T19" s="60"/>
      <c r="U19" s="60"/>
      <c r="V19" s="60"/>
    </row>
    <row r="20" spans="1:22" x14ac:dyDescent="0.25">
      <c r="A20" s="37"/>
      <c r="D20" s="17"/>
      <c r="E20" s="17"/>
      <c r="F20" s="17"/>
      <c r="G20" s="17"/>
      <c r="H20" s="17"/>
      <c r="I20" s="17"/>
      <c r="J20" s="17"/>
      <c r="K20" s="20"/>
      <c r="L20" s="17"/>
      <c r="M20" s="17"/>
      <c r="N20" s="17"/>
      <c r="O20" s="17"/>
      <c r="P20" s="17"/>
      <c r="Q20" s="17"/>
      <c r="R20" s="17"/>
    </row>
    <row r="21" spans="1:22" x14ac:dyDescent="0.25">
      <c r="A21" s="37"/>
      <c r="D21" s="17"/>
      <c r="E21" s="17"/>
      <c r="F21" s="17"/>
      <c r="G21" s="17"/>
      <c r="H21" s="17"/>
      <c r="I21" s="17"/>
      <c r="J21" s="17"/>
      <c r="K21" s="20"/>
      <c r="L21" s="17"/>
      <c r="M21" s="17"/>
      <c r="N21" s="17"/>
      <c r="O21" s="17"/>
      <c r="P21" s="17"/>
      <c r="Q21" s="17"/>
      <c r="R21" s="17"/>
    </row>
    <row r="22" spans="1:22" x14ac:dyDescent="0.25">
      <c r="A22" s="37"/>
      <c r="D22" s="17"/>
      <c r="E22" s="17"/>
      <c r="F22" s="17"/>
      <c r="G22" s="17"/>
      <c r="H22" s="17"/>
      <c r="I22" s="17"/>
      <c r="J22" s="17"/>
      <c r="K22" s="20"/>
      <c r="L22" s="17"/>
      <c r="M22" s="17"/>
      <c r="N22" s="17"/>
      <c r="O22" s="17"/>
      <c r="P22" s="17"/>
      <c r="Q22" s="17"/>
      <c r="R22" s="17"/>
    </row>
    <row r="23" spans="1:22" x14ac:dyDescent="0.25">
      <c r="A23" s="37"/>
      <c r="D23" s="17"/>
      <c r="E23" s="17"/>
      <c r="F23" s="17"/>
      <c r="G23" s="17"/>
      <c r="H23" s="17"/>
      <c r="I23" s="17"/>
      <c r="J23" s="17"/>
      <c r="K23" s="20"/>
      <c r="L23" s="17"/>
      <c r="M23" s="17"/>
      <c r="N23" s="17"/>
      <c r="O23" s="17"/>
      <c r="P23" s="17"/>
      <c r="Q23" s="17"/>
      <c r="R23" s="17"/>
    </row>
    <row r="24" spans="1:22" x14ac:dyDescent="0.25">
      <c r="A24" s="37"/>
      <c r="D24" s="17"/>
      <c r="E24" s="17"/>
      <c r="F24" s="17"/>
      <c r="G24" s="17"/>
      <c r="H24" s="17"/>
      <c r="I24" s="17"/>
      <c r="J24" s="17"/>
      <c r="K24" s="20"/>
      <c r="L24" s="17"/>
      <c r="M24" s="17"/>
      <c r="N24" s="17"/>
      <c r="O24" s="17"/>
      <c r="P24" s="17"/>
      <c r="Q24" s="17"/>
      <c r="R24" s="17"/>
    </row>
    <row r="25" spans="1:22" x14ac:dyDescent="0.25">
      <c r="A25" s="41" t="s">
        <v>41</v>
      </c>
      <c r="B25" s="38">
        <f>J19</f>
        <v>2469273.9936240003</v>
      </c>
      <c r="C25" s="112"/>
      <c r="F25" s="17"/>
      <c r="G25" s="17"/>
      <c r="H25" s="17"/>
      <c r="I25" s="17"/>
      <c r="J25" s="17"/>
      <c r="K25" s="20"/>
      <c r="L25" s="17"/>
      <c r="M25" s="17"/>
      <c r="N25" s="17"/>
      <c r="O25" s="17"/>
      <c r="P25" s="17"/>
      <c r="Q25" s="17"/>
      <c r="R25" s="17"/>
    </row>
    <row r="26" spans="1:22" x14ac:dyDescent="0.25">
      <c r="A26" s="41" t="s">
        <v>42</v>
      </c>
      <c r="B26" s="38">
        <f>M19</f>
        <v>51459.670027124164</v>
      </c>
      <c r="C26" s="112"/>
      <c r="F26" s="17"/>
      <c r="G26" s="17"/>
      <c r="H26" s="17"/>
      <c r="I26" s="17"/>
      <c r="J26" s="17"/>
      <c r="K26" s="20"/>
      <c r="L26" s="17"/>
      <c r="M26" s="17"/>
      <c r="N26" s="17"/>
      <c r="O26" s="17"/>
      <c r="P26" s="17"/>
      <c r="Q26" s="17"/>
      <c r="R26" s="17"/>
    </row>
    <row r="27" spans="1:22" x14ac:dyDescent="0.25">
      <c r="A27" s="41" t="s">
        <v>44</v>
      </c>
      <c r="B27" s="38">
        <f>L19</f>
        <v>311128.52319662401</v>
      </c>
      <c r="C27" s="112"/>
      <c r="F27" s="17"/>
      <c r="G27" s="17"/>
      <c r="H27" s="17"/>
      <c r="I27" s="17"/>
      <c r="J27" s="17"/>
      <c r="K27" s="20"/>
      <c r="L27" s="17"/>
      <c r="M27" s="17"/>
      <c r="N27" s="17"/>
      <c r="O27" s="17"/>
      <c r="P27" s="17"/>
      <c r="Q27" s="17"/>
      <c r="R27" s="17"/>
    </row>
    <row r="28" spans="1:22" x14ac:dyDescent="0.25">
      <c r="A28" s="41" t="s">
        <v>45</v>
      </c>
      <c r="B28" s="38">
        <f>N19</f>
        <v>10224.9</v>
      </c>
      <c r="C28" s="112"/>
      <c r="F28" s="17"/>
      <c r="G28" s="17"/>
      <c r="H28" s="17"/>
      <c r="I28" s="17"/>
      <c r="J28" s="17"/>
      <c r="K28" s="20"/>
      <c r="L28" s="17"/>
      <c r="M28" s="17"/>
      <c r="N28" s="17"/>
      <c r="O28" s="17"/>
      <c r="P28" s="17"/>
      <c r="Q28" s="17"/>
      <c r="R28" s="17"/>
    </row>
    <row r="29" spans="1:22" x14ac:dyDescent="0.25">
      <c r="A29" s="41" t="s">
        <v>46</v>
      </c>
      <c r="B29" s="38">
        <f>O19</f>
        <v>173799.30953491351</v>
      </c>
      <c r="C29" s="112"/>
      <c r="F29" s="17"/>
      <c r="G29" s="17"/>
      <c r="H29" s="17"/>
      <c r="I29" s="17"/>
      <c r="J29" s="17"/>
      <c r="K29" s="20"/>
      <c r="L29" s="17"/>
      <c r="M29" s="17"/>
      <c r="N29" s="17"/>
      <c r="O29" s="17"/>
      <c r="P29" s="17"/>
      <c r="Q29" s="17"/>
      <c r="R29" s="17"/>
    </row>
    <row r="30" spans="1:22" x14ac:dyDescent="0.25">
      <c r="B30" s="84"/>
      <c r="C30" s="84"/>
    </row>
  </sheetData>
  <mergeCells count="1">
    <mergeCell ref="A1:O1"/>
  </mergeCells>
  <pageMargins left="0.23622047244094491" right="0.23622047244094491" top="0.74803149606299213" bottom="0.74803149606299213" header="0.31496062992125984" footer="0.31496062992125984"/>
  <pageSetup paperSize="9" firstPageNumber="23" pageOrder="overThenDown" orientation="landscape" useFirstPageNumber="1" r:id="rId1"/>
  <headerFooter>
    <oddFooter>&amp;R
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A8FD-D1CB-47C4-8101-47BA8115E95F}">
  <sheetPr codeName="Ark13"/>
  <dimension ref="A4:I245"/>
  <sheetViews>
    <sheetView showGridLines="0" zoomScaleNormal="100" workbookViewId="0">
      <selection activeCell="G26" sqref="G26"/>
    </sheetView>
  </sheetViews>
  <sheetFormatPr defaultRowHeight="15" x14ac:dyDescent="0.25"/>
  <cols>
    <col min="2" max="2" width="9.28515625" customWidth="1"/>
    <col min="4" max="4" width="17.42578125" customWidth="1"/>
    <col min="5" max="5" width="10" customWidth="1"/>
    <col min="6" max="6" width="3.85546875" customWidth="1"/>
    <col min="7" max="7" width="11.42578125" bestFit="1" customWidth="1"/>
    <col min="8" max="8" width="4.28515625" customWidth="1"/>
    <col min="9" max="9" width="11.140625" bestFit="1" customWidth="1"/>
  </cols>
  <sheetData>
    <row r="4" spans="1:9" ht="15.75" x14ac:dyDescent="0.25">
      <c r="A4" s="89" t="s">
        <v>127</v>
      </c>
      <c r="B4" s="90"/>
      <c r="C4" s="90"/>
      <c r="D4" s="90"/>
      <c r="E4" s="90"/>
      <c r="F4" s="90"/>
      <c r="G4" s="90"/>
      <c r="H4" s="90"/>
      <c r="I4" s="90"/>
    </row>
    <row r="5" spans="1:9" x14ac:dyDescent="0.25">
      <c r="A5" s="85"/>
      <c r="B5" s="85"/>
      <c r="C5" s="85"/>
      <c r="D5" s="85"/>
      <c r="E5" s="85"/>
      <c r="F5" s="85"/>
      <c r="G5" s="85"/>
      <c r="H5" s="85"/>
      <c r="I5" s="85"/>
    </row>
    <row r="6" spans="1:9" s="90" customFormat="1" ht="15.75" x14ac:dyDescent="0.25">
      <c r="A6" s="85" t="s">
        <v>128</v>
      </c>
      <c r="B6" s="85"/>
      <c r="C6" s="85"/>
      <c r="D6" s="85"/>
      <c r="E6" s="85"/>
      <c r="F6" s="85"/>
      <c r="G6" s="85"/>
      <c r="H6" s="85"/>
      <c r="I6" s="102">
        <f>I88</f>
        <v>277202.07509265334</v>
      </c>
    </row>
    <row r="7" spans="1:9" s="90" customFormat="1" ht="15.75" x14ac:dyDescent="0.25">
      <c r="A7" s="85"/>
      <c r="B7" s="85"/>
      <c r="C7" s="85"/>
      <c r="D7" s="85"/>
      <c r="E7" s="85"/>
      <c r="F7" s="85"/>
      <c r="G7" s="85"/>
      <c r="H7" s="85"/>
      <c r="I7" s="102"/>
    </row>
    <row r="8" spans="1:9" x14ac:dyDescent="0.25">
      <c r="A8" s="85" t="s">
        <v>129</v>
      </c>
      <c r="B8" s="85"/>
      <c r="C8" s="85"/>
      <c r="D8" s="85"/>
      <c r="E8" s="85"/>
      <c r="F8" s="85"/>
      <c r="G8" s="85"/>
      <c r="H8" s="85"/>
      <c r="I8" s="102"/>
    </row>
    <row r="9" spans="1:9" s="85" customFormat="1" ht="12.75" x14ac:dyDescent="0.2">
      <c r="A9" s="85" t="s">
        <v>130</v>
      </c>
      <c r="G9" s="102">
        <f>I120</f>
        <v>0</v>
      </c>
      <c r="I9" s="102"/>
    </row>
    <row r="10" spans="1:9" s="85" customFormat="1" ht="12.75" x14ac:dyDescent="0.2">
      <c r="A10" s="85" t="s">
        <v>177</v>
      </c>
      <c r="G10" s="102">
        <v>-2640</v>
      </c>
      <c r="I10" s="102"/>
    </row>
    <row r="11" spans="1:9" s="85" customFormat="1" ht="12.75" x14ac:dyDescent="0.2">
      <c r="A11" s="85" t="s">
        <v>131</v>
      </c>
      <c r="G11" s="99">
        <f>I122</f>
        <v>0</v>
      </c>
      <c r="I11" s="99">
        <f>SUM(G9:G11)</f>
        <v>-2640</v>
      </c>
    </row>
    <row r="12" spans="1:9" s="85" customFormat="1" ht="12.75" x14ac:dyDescent="0.2">
      <c r="I12" s="102"/>
    </row>
    <row r="13" spans="1:9" s="85" customFormat="1" ht="12.75" x14ac:dyDescent="0.2">
      <c r="A13" s="91" t="s">
        <v>132</v>
      </c>
      <c r="I13" s="102">
        <f>SUM(I11+I6)</f>
        <v>274562.07509265334</v>
      </c>
    </row>
    <row r="14" spans="1:9" s="85" customFormat="1" ht="12.75" x14ac:dyDescent="0.2">
      <c r="I14" s="102"/>
    </row>
    <row r="15" spans="1:9" s="85" customFormat="1" ht="12.75" x14ac:dyDescent="0.2">
      <c r="I15" s="102"/>
    </row>
    <row r="16" spans="1:9" s="85" customFormat="1" ht="12.75" x14ac:dyDescent="0.2">
      <c r="A16" s="85" t="s">
        <v>133</v>
      </c>
      <c r="I16" s="99">
        <f>-I191</f>
        <v>-279118.77400000003</v>
      </c>
    </row>
    <row r="17" spans="1:9" s="85" customFormat="1" ht="12.75" x14ac:dyDescent="0.2">
      <c r="I17" s="102"/>
    </row>
    <row r="18" spans="1:9" s="85" customFormat="1" ht="12.75" x14ac:dyDescent="0.2">
      <c r="A18" s="91" t="s">
        <v>134</v>
      </c>
      <c r="I18" s="104">
        <f>SUM(I13:I17)</f>
        <v>-4556.6989073466975</v>
      </c>
    </row>
    <row r="19" spans="1:9" s="85" customFormat="1" ht="12.75" x14ac:dyDescent="0.2">
      <c r="I19" s="102"/>
    </row>
    <row r="20" spans="1:9" s="85" customFormat="1" ht="12.75" x14ac:dyDescent="0.2">
      <c r="I20" s="102"/>
    </row>
    <row r="21" spans="1:9" s="85" customFormat="1" ht="12.75" x14ac:dyDescent="0.2">
      <c r="A21" s="85" t="s">
        <v>135</v>
      </c>
      <c r="I21" s="104">
        <v>20200</v>
      </c>
    </row>
    <row r="22" spans="1:9" s="85" customFormat="1" ht="12.75" x14ac:dyDescent="0.2"/>
    <row r="23" spans="1:9" s="85" customFormat="1" x14ac:dyDescent="0.25">
      <c r="A23" s="91" t="s">
        <v>178</v>
      </c>
      <c r="B23"/>
      <c r="C23"/>
      <c r="D23"/>
      <c r="E23"/>
      <c r="F23"/>
      <c r="G23"/>
      <c r="H23"/>
      <c r="I23"/>
    </row>
    <row r="24" spans="1:9" s="85" customFormat="1" x14ac:dyDescent="0.25">
      <c r="A24"/>
      <c r="B24"/>
      <c r="C24"/>
      <c r="D24"/>
      <c r="E24"/>
      <c r="F24"/>
      <c r="G24"/>
      <c r="H24"/>
      <c r="I24"/>
    </row>
    <row r="25" spans="1:9" s="85" customFormat="1" x14ac:dyDescent="0.25">
      <c r="A25" s="91" t="s">
        <v>179</v>
      </c>
      <c r="G25" s="105">
        <v>87500</v>
      </c>
      <c r="H25"/>
      <c r="I25" s="107"/>
    </row>
    <row r="26" spans="1:9" s="85" customFormat="1" x14ac:dyDescent="0.25">
      <c r="A26" s="91" t="s">
        <v>180</v>
      </c>
      <c r="G26" s="92">
        <v>0.22</v>
      </c>
      <c r="H26"/>
      <c r="I26" s="103">
        <f>G25*22/100</f>
        <v>19250</v>
      </c>
    </row>
    <row r="27" spans="1:9" s="85" customFormat="1" x14ac:dyDescent="0.25">
      <c r="A27" s="1"/>
      <c r="B27"/>
      <c r="C27"/>
      <c r="D27"/>
      <c r="E27"/>
      <c r="F27"/>
      <c r="G27" s="111"/>
      <c r="H27"/>
      <c r="I27" s="1"/>
    </row>
    <row r="28" spans="1:9" s="85" customFormat="1" x14ac:dyDescent="0.25">
      <c r="A28" s="1"/>
      <c r="B28"/>
      <c r="C28"/>
      <c r="D28"/>
      <c r="E28"/>
      <c r="F28"/>
      <c r="G28" s="111"/>
      <c r="H28"/>
      <c r="I28" s="1"/>
    </row>
    <row r="29" spans="1:9" s="85" customFormat="1" x14ac:dyDescent="0.25">
      <c r="A29" s="1"/>
      <c r="B29"/>
      <c r="C29"/>
      <c r="D29"/>
      <c r="E29"/>
      <c r="F29"/>
      <c r="G29" s="111"/>
      <c r="H29"/>
      <c r="I29" s="1"/>
    </row>
    <row r="30" spans="1:9" s="85" customFormat="1" x14ac:dyDescent="0.25">
      <c r="A30" s="1"/>
      <c r="B30"/>
      <c r="C30"/>
      <c r="D30"/>
      <c r="E30"/>
      <c r="F30"/>
      <c r="G30" s="111"/>
      <c r="H30"/>
      <c r="I30" s="1"/>
    </row>
    <row r="31" spans="1:9" s="85" customFormat="1" x14ac:dyDescent="0.25">
      <c r="A31" s="1"/>
      <c r="B31"/>
      <c r="C31"/>
      <c r="D31"/>
      <c r="E31"/>
      <c r="F31"/>
      <c r="G31" s="111"/>
      <c r="H31"/>
      <c r="I31" s="1"/>
    </row>
    <row r="32" spans="1:9" s="85" customFormat="1" x14ac:dyDescent="0.25">
      <c r="A32" s="1"/>
      <c r="B32"/>
      <c r="C32"/>
      <c r="D32"/>
      <c r="E32"/>
      <c r="F32"/>
      <c r="G32" s="111"/>
      <c r="H32"/>
      <c r="I32" s="1"/>
    </row>
    <row r="33" spans="1:9" s="85" customFormat="1" x14ac:dyDescent="0.25">
      <c r="A33" s="1"/>
      <c r="B33"/>
      <c r="C33"/>
      <c r="D33"/>
      <c r="E33"/>
      <c r="F33"/>
      <c r="G33" s="111"/>
      <c r="H33"/>
      <c r="I33" s="1"/>
    </row>
    <row r="34" spans="1:9" s="85" customFormat="1" x14ac:dyDescent="0.25">
      <c r="A34" s="1"/>
      <c r="B34"/>
      <c r="C34"/>
      <c r="D34"/>
      <c r="E34"/>
      <c r="F34"/>
      <c r="G34" s="111"/>
      <c r="H34"/>
      <c r="I34" s="1"/>
    </row>
    <row r="35" spans="1:9" s="85" customFormat="1" x14ac:dyDescent="0.25">
      <c r="A35" s="1"/>
      <c r="B35"/>
      <c r="C35"/>
      <c r="D35"/>
      <c r="E35"/>
      <c r="F35"/>
      <c r="G35" s="111"/>
      <c r="H35"/>
      <c r="I35" s="1"/>
    </row>
    <row r="36" spans="1:9" s="85" customFormat="1" x14ac:dyDescent="0.25">
      <c r="A36" s="1"/>
      <c r="B36"/>
      <c r="C36"/>
      <c r="D36"/>
      <c r="E36"/>
      <c r="F36"/>
      <c r="G36" s="111"/>
      <c r="H36"/>
      <c r="I36" s="1"/>
    </row>
    <row r="37" spans="1:9" s="85" customFormat="1" x14ac:dyDescent="0.25">
      <c r="A37" s="1"/>
      <c r="B37"/>
      <c r="C37"/>
      <c r="D37"/>
      <c r="E37"/>
      <c r="F37"/>
      <c r="G37" s="111"/>
      <c r="H37"/>
      <c r="I37" s="1"/>
    </row>
    <row r="38" spans="1:9" s="85" customFormat="1" x14ac:dyDescent="0.25">
      <c r="A38" s="1"/>
      <c r="B38"/>
      <c r="C38"/>
      <c r="D38"/>
      <c r="E38"/>
      <c r="F38"/>
      <c r="G38" s="111"/>
      <c r="H38"/>
      <c r="I38" s="1"/>
    </row>
    <row r="39" spans="1:9" s="85" customFormat="1" x14ac:dyDescent="0.25">
      <c r="A39" s="1"/>
      <c r="B39"/>
      <c r="C39"/>
      <c r="D39"/>
      <c r="E39"/>
      <c r="F39"/>
      <c r="G39" s="111"/>
      <c r="H39"/>
      <c r="I39" s="1"/>
    </row>
    <row r="40" spans="1:9" s="85" customFormat="1" x14ac:dyDescent="0.25">
      <c r="A40" s="1"/>
      <c r="B40"/>
      <c r="C40"/>
      <c r="D40"/>
      <c r="E40"/>
      <c r="F40"/>
      <c r="G40" s="111"/>
      <c r="H40"/>
      <c r="I40" s="1"/>
    </row>
    <row r="41" spans="1:9" s="85" customFormat="1" x14ac:dyDescent="0.25">
      <c r="A41" s="1"/>
      <c r="B41"/>
      <c r="C41"/>
      <c r="D41"/>
      <c r="E41"/>
      <c r="F41"/>
      <c r="G41" s="111"/>
      <c r="H41"/>
      <c r="I41" s="1"/>
    </row>
    <row r="42" spans="1:9" s="85" customFormat="1" x14ac:dyDescent="0.25">
      <c r="A42" s="1"/>
      <c r="B42"/>
      <c r="C42"/>
      <c r="D42"/>
      <c r="E42"/>
      <c r="F42"/>
      <c r="G42" s="111"/>
      <c r="H42"/>
      <c r="I42" s="1"/>
    </row>
    <row r="43" spans="1:9" s="85" customFormat="1" x14ac:dyDescent="0.25">
      <c r="A43" s="1"/>
      <c r="B43"/>
      <c r="C43"/>
      <c r="D43"/>
      <c r="E43"/>
      <c r="F43"/>
      <c r="G43" s="111"/>
      <c r="H43"/>
      <c r="I43" s="1"/>
    </row>
    <row r="44" spans="1:9" s="85" customFormat="1" x14ac:dyDescent="0.25">
      <c r="A44" s="1"/>
      <c r="B44"/>
      <c r="C44"/>
      <c r="D44"/>
      <c r="E44"/>
      <c r="F44"/>
      <c r="G44" s="111"/>
      <c r="H44"/>
      <c r="I44" s="1"/>
    </row>
    <row r="45" spans="1:9" s="85" customFormat="1" x14ac:dyDescent="0.25">
      <c r="A45" s="1"/>
      <c r="B45"/>
      <c r="C45"/>
      <c r="D45"/>
      <c r="E45"/>
      <c r="F45"/>
      <c r="G45" s="111"/>
      <c r="H45"/>
      <c r="I45" s="1"/>
    </row>
    <row r="46" spans="1:9" s="85" customFormat="1" x14ac:dyDescent="0.25">
      <c r="A46" s="1"/>
      <c r="B46"/>
      <c r="C46"/>
      <c r="D46"/>
      <c r="E46"/>
      <c r="F46"/>
      <c r="G46" s="111"/>
      <c r="H46"/>
      <c r="I46" s="1"/>
    </row>
    <row r="47" spans="1:9" s="85" customFormat="1" x14ac:dyDescent="0.25">
      <c r="A47" s="1"/>
      <c r="B47"/>
      <c r="C47"/>
      <c r="D47"/>
      <c r="E47"/>
      <c r="F47"/>
      <c r="G47" s="111"/>
      <c r="H47"/>
      <c r="I47" s="1"/>
    </row>
    <row r="48" spans="1:9" s="85" customFormat="1" x14ac:dyDescent="0.25">
      <c r="A48"/>
      <c r="B48"/>
      <c r="C48"/>
      <c r="D48"/>
      <c r="E48"/>
      <c r="F48"/>
      <c r="G48"/>
      <c r="H48"/>
      <c r="I48"/>
    </row>
    <row r="49" spans="1:9" s="85" customFormat="1" x14ac:dyDescent="0.25">
      <c r="A49"/>
      <c r="B49"/>
      <c r="C49"/>
      <c r="D49"/>
      <c r="E49"/>
      <c r="F49"/>
      <c r="G49"/>
      <c r="H49"/>
      <c r="I49"/>
    </row>
    <row r="50" spans="1:9" s="85" customFormat="1" x14ac:dyDescent="0.25">
      <c r="A50"/>
      <c r="B50"/>
      <c r="C50"/>
      <c r="D50"/>
      <c r="E50"/>
      <c r="F50"/>
      <c r="G50"/>
      <c r="H50"/>
      <c r="I50"/>
    </row>
    <row r="51" spans="1:9" s="85" customFormat="1" x14ac:dyDescent="0.25">
      <c r="A51"/>
      <c r="B51"/>
      <c r="C51"/>
      <c r="D51"/>
      <c r="E51"/>
      <c r="F51"/>
      <c r="G51"/>
      <c r="H51"/>
      <c r="I51"/>
    </row>
    <row r="52" spans="1:9" s="85" customFormat="1" x14ac:dyDescent="0.25">
      <c r="A52"/>
      <c r="B52"/>
      <c r="C52"/>
      <c r="D52"/>
      <c r="E52"/>
      <c r="F52"/>
      <c r="G52"/>
      <c r="H52"/>
      <c r="I52"/>
    </row>
    <row r="53" spans="1:9" s="85" customFormat="1" x14ac:dyDescent="0.25">
      <c r="A53"/>
      <c r="B53"/>
      <c r="C53"/>
      <c r="D53"/>
      <c r="E53"/>
      <c r="F53"/>
      <c r="G53"/>
      <c r="H53"/>
      <c r="I53"/>
    </row>
    <row r="54" spans="1:9" s="85" customFormat="1" ht="15.75" x14ac:dyDescent="0.25">
      <c r="A54" s="89" t="s">
        <v>82</v>
      </c>
      <c r="B54" s="90"/>
      <c r="C54" s="90"/>
      <c r="D54" s="90"/>
      <c r="E54" s="90"/>
      <c r="F54" s="90"/>
      <c r="G54" s="90"/>
      <c r="H54" s="90"/>
      <c r="I54" s="90"/>
    </row>
    <row r="55" spans="1:9" s="85" customFormat="1" ht="15.75" x14ac:dyDescent="0.25">
      <c r="A55" s="89"/>
      <c r="B55" s="90"/>
      <c r="C55" s="90"/>
      <c r="D55" s="90"/>
      <c r="E55" s="90"/>
      <c r="F55" s="90"/>
      <c r="G55" s="90"/>
      <c r="H55" s="90"/>
      <c r="I55" s="90"/>
    </row>
    <row r="56" spans="1:9" s="85" customFormat="1" x14ac:dyDescent="0.25">
      <c r="A56"/>
      <c r="B56"/>
      <c r="C56"/>
      <c r="D56"/>
      <c r="E56"/>
      <c r="F56"/>
      <c r="G56"/>
      <c r="H56"/>
      <c r="I56"/>
    </row>
    <row r="57" spans="1:9" s="85" customFormat="1" ht="12.75" x14ac:dyDescent="0.2">
      <c r="A57" s="91" t="s">
        <v>137</v>
      </c>
    </row>
    <row r="58" spans="1:9" s="85" customFormat="1" ht="12.75" x14ac:dyDescent="0.2"/>
    <row r="59" spans="1:9" s="85" customFormat="1" ht="12.75" x14ac:dyDescent="0.2">
      <c r="A59" s="85" t="s">
        <v>194</v>
      </c>
      <c r="I59" s="102">
        <f>'Skat II'!E10</f>
        <v>293000</v>
      </c>
    </row>
    <row r="60" spans="1:9" s="85" customFormat="1" ht="12.75" x14ac:dyDescent="0.2">
      <c r="A60" s="85" t="s">
        <v>26</v>
      </c>
      <c r="G60" s="102">
        <v>11706</v>
      </c>
      <c r="I60" s="102"/>
    </row>
    <row r="61" spans="1:9" s="85" customFormat="1" ht="12.75" x14ac:dyDescent="0.2">
      <c r="A61" s="85" t="s">
        <v>83</v>
      </c>
      <c r="G61" s="102">
        <v>13726</v>
      </c>
      <c r="I61" s="102"/>
    </row>
    <row r="62" spans="1:9" s="85" customFormat="1" ht="12.75" x14ac:dyDescent="0.2">
      <c r="A62" s="85" t="s">
        <v>84</v>
      </c>
      <c r="G62" s="102">
        <v>6955</v>
      </c>
      <c r="I62" s="102"/>
    </row>
    <row r="63" spans="1:9" s="85" customFormat="1" ht="12.75" x14ac:dyDescent="0.2">
      <c r="A63" s="85" t="s">
        <v>85</v>
      </c>
      <c r="G63" s="99">
        <v>10426</v>
      </c>
      <c r="I63" s="102"/>
    </row>
    <row r="64" spans="1:9" s="85" customFormat="1" ht="12.75" x14ac:dyDescent="0.2">
      <c r="G64" s="103">
        <f>SUM(G60:G63)</f>
        <v>42813</v>
      </c>
      <c r="I64" s="102"/>
    </row>
    <row r="65" spans="1:9" x14ac:dyDescent="0.25">
      <c r="A65" s="85"/>
      <c r="B65" s="85"/>
      <c r="C65" s="85"/>
      <c r="D65" s="85"/>
      <c r="E65" s="85"/>
      <c r="F65" s="85"/>
      <c r="G65" s="102"/>
      <c r="H65" s="85"/>
      <c r="I65" s="102"/>
    </row>
    <row r="66" spans="1:9" x14ac:dyDescent="0.25">
      <c r="A66" s="85" t="s">
        <v>86</v>
      </c>
      <c r="B66" s="85"/>
      <c r="C66" s="85"/>
      <c r="D66" s="85"/>
      <c r="E66" s="85"/>
      <c r="F66" s="85"/>
      <c r="G66" s="102"/>
      <c r="H66" s="85"/>
      <c r="I66" s="102">
        <f>-G64*31.22/100</f>
        <v>-13366.218599999998</v>
      </c>
    </row>
    <row r="67" spans="1:9" x14ac:dyDescent="0.25">
      <c r="A67" s="85"/>
      <c r="B67" s="85"/>
      <c r="C67" s="85"/>
      <c r="D67" s="85"/>
      <c r="E67" s="85"/>
      <c r="F67" s="85"/>
      <c r="G67" s="102"/>
      <c r="H67" s="85"/>
      <c r="I67" s="102"/>
    </row>
    <row r="68" spans="1:9" x14ac:dyDescent="0.25">
      <c r="A68" s="91" t="s">
        <v>87</v>
      </c>
      <c r="B68" s="85"/>
      <c r="C68" s="85"/>
      <c r="D68" s="85"/>
      <c r="E68" s="85"/>
      <c r="F68" s="85"/>
      <c r="G68" s="102"/>
      <c r="H68" s="85"/>
      <c r="I68" s="102"/>
    </row>
    <row r="69" spans="1:9" x14ac:dyDescent="0.25">
      <c r="A69" s="85"/>
      <c r="B69" s="85"/>
      <c r="C69" s="85"/>
      <c r="D69" s="85"/>
      <c r="E69" s="85"/>
      <c r="F69" s="85"/>
      <c r="G69" s="102"/>
      <c r="H69" s="85"/>
      <c r="I69" s="102"/>
    </row>
    <row r="70" spans="1:9" x14ac:dyDescent="0.25">
      <c r="A70" s="85" t="s">
        <v>195</v>
      </c>
      <c r="B70" s="85"/>
      <c r="C70" s="85"/>
      <c r="D70" s="85"/>
      <c r="E70" s="85"/>
      <c r="F70" s="85"/>
      <c r="G70" s="102"/>
      <c r="H70" s="85"/>
      <c r="I70" s="102">
        <f>'Skat II'!G10</f>
        <v>291133</v>
      </c>
    </row>
    <row r="71" spans="1:9" x14ac:dyDescent="0.25">
      <c r="A71" s="85" t="s">
        <v>88</v>
      </c>
      <c r="B71" s="85"/>
      <c r="C71" s="85"/>
      <c r="D71" s="85"/>
      <c r="E71" s="85"/>
      <c r="F71" s="85"/>
      <c r="G71" s="102">
        <v>13929</v>
      </c>
      <c r="H71" s="85"/>
      <c r="I71" s="102"/>
    </row>
    <row r="72" spans="1:9" x14ac:dyDescent="0.25">
      <c r="A72" s="85" t="s">
        <v>85</v>
      </c>
      <c r="B72" s="85"/>
      <c r="C72" s="85"/>
      <c r="D72" s="85"/>
      <c r="E72" s="85"/>
      <c r="F72" s="85"/>
      <c r="G72" s="102">
        <v>12296</v>
      </c>
      <c r="H72" s="85"/>
      <c r="I72" s="102"/>
    </row>
    <row r="73" spans="1:9" x14ac:dyDescent="0.25">
      <c r="A73" s="85" t="s">
        <v>89</v>
      </c>
      <c r="B73" s="85"/>
      <c r="C73" s="85"/>
      <c r="D73" s="85"/>
      <c r="E73" s="85"/>
      <c r="F73" s="85"/>
      <c r="G73" s="102">
        <v>18500</v>
      </c>
      <c r="H73" s="85"/>
      <c r="I73" s="102"/>
    </row>
    <row r="74" spans="1:9" x14ac:dyDescent="0.25">
      <c r="A74" s="85" t="s">
        <v>75</v>
      </c>
      <c r="B74" s="85"/>
      <c r="C74" s="85"/>
      <c r="D74" s="85"/>
      <c r="E74" s="85"/>
      <c r="F74" s="85"/>
      <c r="G74" s="102">
        <v>4906</v>
      </c>
      <c r="H74" s="85"/>
      <c r="I74" s="102"/>
    </row>
    <row r="75" spans="1:9" x14ac:dyDescent="0.25">
      <c r="A75" s="85" t="s">
        <v>90</v>
      </c>
      <c r="B75" s="85"/>
      <c r="C75" s="85"/>
      <c r="D75" s="85"/>
      <c r="E75" s="85"/>
      <c r="F75" s="85"/>
      <c r="G75" s="99">
        <v>186973</v>
      </c>
      <c r="H75" s="85"/>
      <c r="I75" s="102"/>
    </row>
    <row r="76" spans="1:9" x14ac:dyDescent="0.25">
      <c r="A76" s="85"/>
      <c r="B76" s="85"/>
      <c r="C76" s="85"/>
      <c r="D76" s="85"/>
      <c r="E76" s="85"/>
      <c r="F76" s="85"/>
      <c r="G76" s="103">
        <f>SUM(G71:G75)</f>
        <v>236604</v>
      </c>
      <c r="H76" s="85"/>
      <c r="I76" s="102"/>
    </row>
    <row r="77" spans="1:9" x14ac:dyDescent="0.25">
      <c r="A77" s="85"/>
      <c r="B77" s="85"/>
      <c r="C77" s="85"/>
      <c r="D77" s="85"/>
      <c r="E77" s="85"/>
      <c r="F77" s="85"/>
      <c r="G77" s="102"/>
      <c r="H77" s="85"/>
      <c r="I77" s="102"/>
    </row>
    <row r="78" spans="1:9" x14ac:dyDescent="0.25">
      <c r="A78" s="85" t="s">
        <v>91</v>
      </c>
      <c r="B78" s="85"/>
      <c r="C78" s="85"/>
      <c r="D78" s="85"/>
      <c r="E78" s="85"/>
      <c r="F78" s="85"/>
      <c r="G78" s="102"/>
      <c r="H78" s="85"/>
      <c r="I78" s="102">
        <f>-G76*33.6/100</f>
        <v>-79498.944000000003</v>
      </c>
    </row>
    <row r="79" spans="1:9" x14ac:dyDescent="0.25">
      <c r="A79" s="85"/>
      <c r="B79" s="85"/>
      <c r="C79" s="85"/>
      <c r="D79" s="85"/>
      <c r="E79" s="85"/>
      <c r="F79" s="85"/>
      <c r="G79" s="102"/>
      <c r="H79" s="85"/>
      <c r="I79" s="102"/>
    </row>
    <row r="80" spans="1:9" x14ac:dyDescent="0.25">
      <c r="A80" s="85" t="s">
        <v>26</v>
      </c>
      <c r="B80" s="85"/>
      <c r="C80" s="85"/>
      <c r="D80" s="85"/>
      <c r="E80" s="85"/>
      <c r="F80" s="85"/>
      <c r="G80" s="102">
        <v>24850</v>
      </c>
      <c r="H80" s="85"/>
      <c r="I80" s="102"/>
    </row>
    <row r="81" spans="1:9" x14ac:dyDescent="0.25">
      <c r="A81" s="85" t="s">
        <v>84</v>
      </c>
      <c r="B81" s="85"/>
      <c r="C81" s="85"/>
      <c r="D81" s="85"/>
      <c r="E81" s="85"/>
      <c r="F81" s="85"/>
      <c r="G81" s="99">
        <v>3325</v>
      </c>
      <c r="H81" s="85"/>
      <c r="I81" s="102"/>
    </row>
    <row r="82" spans="1:9" s="90" customFormat="1" ht="15.75" x14ac:dyDescent="0.25">
      <c r="A82" s="85"/>
      <c r="B82" s="85"/>
      <c r="C82" s="85"/>
      <c r="D82" s="85"/>
      <c r="E82" s="85"/>
      <c r="F82" s="85"/>
      <c r="G82" s="103">
        <f>SUM(G80:G81)</f>
        <v>28175</v>
      </c>
      <c r="H82" s="85"/>
      <c r="I82" s="102"/>
    </row>
    <row r="83" spans="1:9" x14ac:dyDescent="0.25">
      <c r="A83" s="85"/>
      <c r="B83" s="85"/>
      <c r="C83" s="85"/>
      <c r="D83" s="85"/>
      <c r="E83" s="85"/>
      <c r="F83" s="85"/>
      <c r="G83" s="101"/>
      <c r="H83" s="85"/>
      <c r="I83" s="102"/>
    </row>
    <row r="84" spans="1:9" s="85" customFormat="1" ht="12.75" x14ac:dyDescent="0.2">
      <c r="A84" s="85" t="s">
        <v>92</v>
      </c>
      <c r="G84" s="100"/>
      <c r="I84" s="102">
        <f>-G82*48/100</f>
        <v>-13524</v>
      </c>
    </row>
    <row r="85" spans="1:9" s="85" customFormat="1" ht="12.75" x14ac:dyDescent="0.2">
      <c r="I85" s="102"/>
    </row>
    <row r="86" spans="1:9" s="85" customFormat="1" ht="12.75" x14ac:dyDescent="0.2">
      <c r="A86" s="85" t="s">
        <v>175</v>
      </c>
      <c r="C86" s="110">
        <f>I207</f>
        <v>0.11464930468526374</v>
      </c>
      <c r="I86" s="99">
        <f>-I224</f>
        <v>-200541.76230734662</v>
      </c>
    </row>
    <row r="87" spans="1:9" s="85" customFormat="1" ht="12.75" x14ac:dyDescent="0.2">
      <c r="I87" s="102"/>
    </row>
    <row r="88" spans="1:9" s="85" customFormat="1" ht="12.75" x14ac:dyDescent="0.2">
      <c r="A88" s="85" t="s">
        <v>93</v>
      </c>
      <c r="I88" s="104">
        <f>SUM(I59:I87)</f>
        <v>277202.07509265334</v>
      </c>
    </row>
    <row r="89" spans="1:9" s="85" customFormat="1" x14ac:dyDescent="0.25">
      <c r="A89"/>
      <c r="B89"/>
      <c r="C89"/>
      <c r="D89"/>
      <c r="E89"/>
      <c r="F89"/>
      <c r="G89"/>
      <c r="H89"/>
      <c r="I89" s="96"/>
    </row>
    <row r="90" spans="1:9" s="85" customFormat="1" x14ac:dyDescent="0.25">
      <c r="A90"/>
      <c r="B90"/>
      <c r="C90"/>
      <c r="D90"/>
      <c r="E90"/>
      <c r="F90"/>
      <c r="G90"/>
      <c r="H90"/>
      <c r="I90" s="96"/>
    </row>
    <row r="91" spans="1:9" s="85" customFormat="1" x14ac:dyDescent="0.25">
      <c r="A91"/>
      <c r="B91"/>
      <c r="C91"/>
      <c r="D91"/>
      <c r="E91"/>
      <c r="F91"/>
      <c r="G91"/>
      <c r="H91"/>
      <c r="I91" s="96"/>
    </row>
    <row r="92" spans="1:9" s="85" customFormat="1" x14ac:dyDescent="0.25">
      <c r="A92"/>
      <c r="B92"/>
      <c r="C92"/>
      <c r="D92"/>
      <c r="E92"/>
      <c r="F92"/>
      <c r="G92"/>
      <c r="H92"/>
      <c r="I92" s="96"/>
    </row>
    <row r="93" spans="1:9" s="85" customFormat="1" x14ac:dyDescent="0.25">
      <c r="A93"/>
      <c r="B93"/>
      <c r="C93"/>
      <c r="D93"/>
      <c r="E93"/>
      <c r="F93"/>
      <c r="G93"/>
      <c r="H93"/>
      <c r="I93" s="96"/>
    </row>
    <row r="94" spans="1:9" s="85" customFormat="1" x14ac:dyDescent="0.25">
      <c r="A94"/>
      <c r="B94"/>
      <c r="C94"/>
      <c r="D94"/>
      <c r="E94"/>
      <c r="F94"/>
      <c r="G94"/>
      <c r="H94"/>
      <c r="I94" s="96"/>
    </row>
    <row r="95" spans="1:9" s="85" customFormat="1" x14ac:dyDescent="0.25">
      <c r="A95"/>
      <c r="B95"/>
      <c r="C95"/>
      <c r="D95"/>
      <c r="E95"/>
      <c r="F95"/>
      <c r="G95"/>
      <c r="H95"/>
      <c r="I95" s="96"/>
    </row>
    <row r="96" spans="1:9" s="85" customFormat="1" x14ac:dyDescent="0.25">
      <c r="A96"/>
      <c r="B96"/>
      <c r="C96"/>
      <c r="D96"/>
      <c r="E96"/>
      <c r="F96"/>
      <c r="G96"/>
      <c r="H96"/>
      <c r="I96" s="96"/>
    </row>
    <row r="97" spans="1:9" s="85" customFormat="1" x14ac:dyDescent="0.25">
      <c r="A97"/>
      <c r="B97"/>
      <c r="C97"/>
      <c r="D97"/>
      <c r="E97"/>
      <c r="F97"/>
      <c r="G97"/>
      <c r="H97"/>
      <c r="I97" s="96"/>
    </row>
    <row r="98" spans="1:9" s="85" customFormat="1" x14ac:dyDescent="0.25">
      <c r="A98"/>
      <c r="B98"/>
      <c r="C98"/>
      <c r="D98"/>
      <c r="E98"/>
      <c r="F98"/>
      <c r="G98"/>
      <c r="H98"/>
      <c r="I98" s="96"/>
    </row>
    <row r="99" spans="1:9" x14ac:dyDescent="0.25">
      <c r="I99" s="96"/>
    </row>
    <row r="100" spans="1:9" x14ac:dyDescent="0.25">
      <c r="I100" s="96"/>
    </row>
    <row r="104" spans="1:9" ht="15.75" x14ac:dyDescent="0.25">
      <c r="A104" s="89" t="s">
        <v>94</v>
      </c>
      <c r="B104" s="90"/>
      <c r="C104" s="90"/>
      <c r="D104" s="90"/>
      <c r="E104" s="90"/>
      <c r="F104" s="90"/>
      <c r="G104" s="90"/>
      <c r="H104" s="90"/>
      <c r="I104" s="90"/>
    </row>
    <row r="106" spans="1:9" x14ac:dyDescent="0.25">
      <c r="A106" s="91" t="s">
        <v>95</v>
      </c>
      <c r="B106" s="85"/>
      <c r="C106" s="85"/>
      <c r="D106" s="85"/>
      <c r="E106" s="85"/>
      <c r="F106" s="85"/>
      <c r="G106" s="85"/>
      <c r="H106" s="85"/>
      <c r="I106" s="85"/>
    </row>
    <row r="107" spans="1:9" x14ac:dyDescent="0.25">
      <c r="A107" s="85"/>
      <c r="B107" s="85"/>
      <c r="C107" s="85"/>
      <c r="D107" s="85"/>
      <c r="E107" s="85"/>
      <c r="F107" s="85"/>
      <c r="G107" s="85"/>
      <c r="H107" s="85"/>
      <c r="I107" s="85"/>
    </row>
    <row r="108" spans="1:9" x14ac:dyDescent="0.25">
      <c r="A108" s="85" t="s">
        <v>96</v>
      </c>
      <c r="B108" s="85"/>
      <c r="C108" s="85"/>
      <c r="D108" s="85"/>
      <c r="E108" s="85"/>
      <c r="F108" s="85"/>
      <c r="G108" s="85"/>
      <c r="H108" s="85"/>
      <c r="I108" s="85">
        <f>-'Finansielle poster'!J8</f>
        <v>0</v>
      </c>
    </row>
    <row r="109" spans="1:9" x14ac:dyDescent="0.25">
      <c r="A109" s="85"/>
      <c r="B109" s="85"/>
      <c r="C109" s="85"/>
      <c r="D109" s="85"/>
      <c r="E109" s="85"/>
      <c r="F109" s="85"/>
      <c r="G109" s="85"/>
      <c r="H109" s="85"/>
      <c r="I109" s="85"/>
    </row>
    <row r="110" spans="1:9" x14ac:dyDescent="0.25">
      <c r="A110" s="85" t="s">
        <v>97</v>
      </c>
      <c r="B110" s="85"/>
      <c r="C110" s="85"/>
      <c r="D110" s="85"/>
      <c r="E110" s="85"/>
      <c r="F110" s="85"/>
      <c r="G110" s="85"/>
      <c r="H110" s="85"/>
      <c r="I110" s="85">
        <f>-'Finansielle poster'!J12</f>
        <v>0</v>
      </c>
    </row>
    <row r="111" spans="1:9" x14ac:dyDescent="0.25">
      <c r="A111" s="85"/>
      <c r="B111" s="85"/>
      <c r="C111" s="85"/>
      <c r="D111" s="85"/>
      <c r="E111" s="85"/>
      <c r="F111" s="85"/>
      <c r="G111" s="85"/>
      <c r="H111" s="85"/>
      <c r="I111" s="85"/>
    </row>
    <row r="112" spans="1:9" x14ac:dyDescent="0.25">
      <c r="A112" s="85" t="s">
        <v>98</v>
      </c>
      <c r="B112" s="85"/>
      <c r="C112" s="85"/>
      <c r="D112" s="85"/>
      <c r="E112" s="85"/>
      <c r="F112" s="85"/>
      <c r="G112" s="85"/>
      <c r="H112" s="85"/>
      <c r="I112" s="85">
        <f>-Ejendomsudg.!I8</f>
        <v>0</v>
      </c>
    </row>
    <row r="113" spans="1:9" x14ac:dyDescent="0.25">
      <c r="A113" s="85"/>
      <c r="B113" s="85"/>
      <c r="C113" s="85"/>
      <c r="D113" s="85"/>
      <c r="E113" s="85"/>
      <c r="F113" s="85"/>
      <c r="G113" s="85"/>
      <c r="H113" s="85"/>
      <c r="I113" s="85"/>
    </row>
    <row r="114" spans="1:9" x14ac:dyDescent="0.25">
      <c r="A114" s="85" t="s">
        <v>99</v>
      </c>
      <c r="B114" s="85"/>
      <c r="C114" s="85"/>
      <c r="D114" s="85"/>
      <c r="E114" s="85"/>
      <c r="F114" s="85"/>
      <c r="G114" s="85"/>
      <c r="H114" s="85"/>
      <c r="I114" s="85">
        <v>0</v>
      </c>
    </row>
    <row r="115" spans="1:9" x14ac:dyDescent="0.25">
      <c r="A115" s="85"/>
      <c r="B115" s="85"/>
      <c r="C115" s="85"/>
      <c r="D115" s="85"/>
      <c r="E115" s="85"/>
      <c r="F115" s="85"/>
      <c r="G115" s="85"/>
      <c r="H115" s="85"/>
      <c r="I115" s="85"/>
    </row>
    <row r="116" spans="1:9" x14ac:dyDescent="0.25">
      <c r="A116" s="85" t="s">
        <v>100</v>
      </c>
      <c r="B116" s="85"/>
      <c r="C116" s="85"/>
      <c r="D116" s="85"/>
      <c r="E116" s="85"/>
      <c r="F116" s="85"/>
      <c r="G116" s="85"/>
      <c r="H116" s="85"/>
      <c r="I116" s="85">
        <f>-I110*30/100</f>
        <v>0</v>
      </c>
    </row>
    <row r="117" spans="1:9" x14ac:dyDescent="0.25">
      <c r="A117" s="85"/>
      <c r="B117" s="85"/>
      <c r="C117" s="85"/>
      <c r="D117" s="85"/>
      <c r="E117" s="85"/>
      <c r="F117" s="85"/>
      <c r="G117" s="85"/>
      <c r="H117" s="85"/>
      <c r="I117" s="85"/>
    </row>
    <row r="118" spans="1:9" x14ac:dyDescent="0.25">
      <c r="A118" s="85" t="s">
        <v>176</v>
      </c>
      <c r="B118" s="85"/>
      <c r="C118" s="85"/>
      <c r="D118" s="85"/>
      <c r="E118" s="85">
        <f>I108+I110+I116</f>
        <v>0</v>
      </c>
      <c r="F118" s="85"/>
      <c r="G118" s="85"/>
      <c r="H118" s="85"/>
      <c r="I118" s="106">
        <f>-SUM(I108+I110+I116)*5/100</f>
        <v>0</v>
      </c>
    </row>
    <row r="119" spans="1:9" x14ac:dyDescent="0.25">
      <c r="A119" s="85"/>
      <c r="B119" s="85"/>
      <c r="C119" s="85"/>
      <c r="D119" s="85"/>
      <c r="E119" s="85"/>
      <c r="F119" s="85"/>
      <c r="G119" s="85"/>
      <c r="H119" s="85"/>
      <c r="I119" s="85"/>
    </row>
    <row r="120" spans="1:9" x14ac:dyDescent="0.25">
      <c r="A120" s="85" t="s">
        <v>101</v>
      </c>
      <c r="B120" s="85"/>
      <c r="C120" s="85"/>
      <c r="D120" s="85"/>
      <c r="E120" s="85"/>
      <c r="F120" s="85"/>
      <c r="G120" s="85"/>
      <c r="H120" s="85"/>
      <c r="I120" s="93">
        <f>SUM(I108:I119)</f>
        <v>0</v>
      </c>
    </row>
    <row r="130" spans="1:9" s="89" customFormat="1" ht="15.75" x14ac:dyDescent="0.25">
      <c r="A130"/>
      <c r="B130"/>
      <c r="C130"/>
      <c r="D130"/>
      <c r="E130"/>
      <c r="F130"/>
      <c r="G130"/>
      <c r="H130"/>
      <c r="I130"/>
    </row>
    <row r="131" spans="1:9" s="1" customFormat="1" x14ac:dyDescent="0.25">
      <c r="A131"/>
      <c r="B131"/>
      <c r="C131"/>
      <c r="D131"/>
      <c r="E131"/>
      <c r="F131"/>
      <c r="G131"/>
      <c r="H131"/>
      <c r="I131"/>
    </row>
    <row r="132" spans="1:9" s="87" customFormat="1" x14ac:dyDescent="0.25">
      <c r="A132"/>
      <c r="B132"/>
      <c r="C132"/>
      <c r="D132"/>
      <c r="E132"/>
      <c r="F132"/>
      <c r="G132"/>
      <c r="H132"/>
      <c r="I132"/>
    </row>
    <row r="133" spans="1:9" s="86" customFormat="1" x14ac:dyDescent="0.25">
      <c r="A133"/>
      <c r="B133"/>
      <c r="C133"/>
      <c r="D133"/>
      <c r="E133"/>
      <c r="F133"/>
      <c r="G133"/>
      <c r="H133"/>
      <c r="I133"/>
    </row>
    <row r="134" spans="1:9" s="85" customFormat="1" x14ac:dyDescent="0.25">
      <c r="A134"/>
      <c r="B134"/>
      <c r="C134"/>
      <c r="D134"/>
      <c r="E134"/>
      <c r="F134"/>
      <c r="G134"/>
      <c r="H134"/>
      <c r="I134"/>
    </row>
    <row r="135" spans="1:9" s="85" customFormat="1" x14ac:dyDescent="0.25">
      <c r="A135"/>
      <c r="B135"/>
      <c r="C135"/>
      <c r="D135"/>
      <c r="E135"/>
      <c r="F135"/>
      <c r="G135"/>
      <c r="H135"/>
      <c r="I135"/>
    </row>
    <row r="136" spans="1:9" s="85" customFormat="1" x14ac:dyDescent="0.25">
      <c r="A136"/>
      <c r="B136"/>
      <c r="C136"/>
      <c r="D136"/>
      <c r="E136"/>
      <c r="F136"/>
      <c r="G136"/>
      <c r="H136"/>
      <c r="I136"/>
    </row>
    <row r="137" spans="1:9" s="85" customFormat="1" x14ac:dyDescent="0.25">
      <c r="A137"/>
      <c r="B137"/>
      <c r="C137"/>
      <c r="D137"/>
      <c r="E137"/>
      <c r="F137"/>
      <c r="G137"/>
      <c r="H137"/>
      <c r="I137"/>
    </row>
    <row r="138" spans="1:9" s="85" customFormat="1" x14ac:dyDescent="0.25">
      <c r="A138"/>
      <c r="B138"/>
      <c r="C138"/>
      <c r="D138"/>
      <c r="E138"/>
      <c r="F138"/>
      <c r="G138"/>
      <c r="H138"/>
      <c r="I138"/>
    </row>
    <row r="139" spans="1:9" s="85" customFormat="1" x14ac:dyDescent="0.25">
      <c r="A139"/>
      <c r="B139"/>
      <c r="C139"/>
      <c r="D139"/>
      <c r="E139"/>
      <c r="F139"/>
      <c r="G139"/>
      <c r="H139"/>
      <c r="I139"/>
    </row>
    <row r="140" spans="1:9" s="85" customFormat="1" x14ac:dyDescent="0.25">
      <c r="A140"/>
      <c r="B140"/>
      <c r="C140"/>
      <c r="D140"/>
      <c r="E140"/>
      <c r="F140"/>
      <c r="G140"/>
      <c r="H140"/>
      <c r="I140"/>
    </row>
    <row r="141" spans="1:9" s="85" customFormat="1" x14ac:dyDescent="0.25">
      <c r="A141"/>
      <c r="B141"/>
      <c r="C141"/>
      <c r="D141"/>
      <c r="E141"/>
      <c r="F141"/>
      <c r="G141"/>
      <c r="H141"/>
      <c r="I141"/>
    </row>
    <row r="142" spans="1:9" s="85" customFormat="1" x14ac:dyDescent="0.25">
      <c r="A142"/>
      <c r="B142"/>
      <c r="C142"/>
      <c r="D142"/>
      <c r="E142"/>
      <c r="F142"/>
      <c r="G142"/>
      <c r="H142"/>
      <c r="I142"/>
    </row>
    <row r="143" spans="1:9" s="85" customFormat="1" x14ac:dyDescent="0.25">
      <c r="A143"/>
      <c r="B143"/>
      <c r="C143"/>
      <c r="D143"/>
      <c r="E143"/>
      <c r="F143"/>
      <c r="G143"/>
      <c r="H143"/>
      <c r="I143"/>
    </row>
    <row r="144" spans="1:9" s="85" customFormat="1" x14ac:dyDescent="0.25">
      <c r="A144"/>
      <c r="B144"/>
      <c r="C144"/>
      <c r="D144"/>
      <c r="E144"/>
      <c r="F144"/>
      <c r="G144"/>
      <c r="H144"/>
      <c r="I144"/>
    </row>
    <row r="145" spans="1:9" s="85" customFormat="1" x14ac:dyDescent="0.25">
      <c r="A145"/>
      <c r="B145"/>
      <c r="C145"/>
      <c r="D145"/>
      <c r="E145"/>
      <c r="F145"/>
      <c r="G145"/>
      <c r="H145"/>
      <c r="I145"/>
    </row>
    <row r="146" spans="1:9" s="85" customFormat="1" x14ac:dyDescent="0.25">
      <c r="A146"/>
      <c r="B146"/>
      <c r="C146"/>
      <c r="D146"/>
      <c r="E146"/>
      <c r="F146"/>
      <c r="G146"/>
      <c r="H146"/>
      <c r="I146"/>
    </row>
    <row r="147" spans="1:9" s="85" customFormat="1" x14ac:dyDescent="0.25">
      <c r="A147"/>
      <c r="B147"/>
      <c r="C147"/>
      <c r="D147"/>
      <c r="E147"/>
      <c r="F147"/>
      <c r="G147"/>
      <c r="H147"/>
      <c r="I147"/>
    </row>
    <row r="148" spans="1:9" s="91" customFormat="1" x14ac:dyDescent="0.25">
      <c r="A148"/>
      <c r="B148"/>
      <c r="C148"/>
      <c r="D148"/>
      <c r="E148"/>
      <c r="F148"/>
      <c r="G148"/>
      <c r="H148"/>
      <c r="I148"/>
    </row>
    <row r="149" spans="1:9" s="91" customFormat="1" x14ac:dyDescent="0.25">
      <c r="A149"/>
      <c r="B149"/>
      <c r="C149"/>
      <c r="D149"/>
      <c r="E149"/>
      <c r="F149"/>
      <c r="G149"/>
      <c r="H149"/>
      <c r="I149"/>
    </row>
    <row r="150" spans="1:9" s="85" customFormat="1" x14ac:dyDescent="0.25">
      <c r="A150"/>
      <c r="B150"/>
      <c r="C150"/>
      <c r="D150"/>
      <c r="E150"/>
      <c r="F150"/>
      <c r="G150"/>
      <c r="H150"/>
      <c r="I150"/>
    </row>
    <row r="151" spans="1:9" s="85" customFormat="1" x14ac:dyDescent="0.25">
      <c r="A151"/>
      <c r="B151"/>
      <c r="C151"/>
      <c r="D151"/>
      <c r="E151"/>
      <c r="F151"/>
      <c r="G151"/>
      <c r="H151"/>
      <c r="I151"/>
    </row>
    <row r="152" spans="1:9" s="85" customFormat="1" x14ac:dyDescent="0.25">
      <c r="A152"/>
      <c r="B152"/>
      <c r="C152"/>
      <c r="D152"/>
      <c r="E152"/>
      <c r="F152"/>
      <c r="G152"/>
      <c r="H152"/>
      <c r="I152"/>
    </row>
    <row r="153" spans="1:9" s="85" customFormat="1" x14ac:dyDescent="0.25">
      <c r="A153"/>
      <c r="B153"/>
      <c r="C153"/>
      <c r="D153"/>
      <c r="E153"/>
      <c r="F153"/>
      <c r="G153"/>
      <c r="H153"/>
      <c r="I153"/>
    </row>
    <row r="154" spans="1:9" s="85" customFormat="1" ht="15.75" x14ac:dyDescent="0.25">
      <c r="A154" s="89" t="s">
        <v>102</v>
      </c>
      <c r="B154" s="89"/>
      <c r="C154" s="89"/>
      <c r="D154" s="89"/>
      <c r="E154" s="89"/>
      <c r="F154" s="89"/>
      <c r="G154" s="89"/>
      <c r="H154" s="89"/>
      <c r="I154" s="89"/>
    </row>
    <row r="155" spans="1:9" s="85" customFormat="1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s="85" customFormat="1" ht="12.75" x14ac:dyDescent="0.2">
      <c r="A156" s="87"/>
      <c r="B156" s="87"/>
      <c r="C156" s="87"/>
      <c r="D156" s="87"/>
      <c r="E156" s="88" t="s">
        <v>103</v>
      </c>
      <c r="F156" s="87"/>
      <c r="G156" s="87" t="s">
        <v>105</v>
      </c>
      <c r="H156" s="87"/>
      <c r="I156" s="87"/>
    </row>
    <row r="157" spans="1:9" s="85" customFormat="1" ht="12.75" x14ac:dyDescent="0.2">
      <c r="A157" s="86"/>
      <c r="B157" s="86"/>
      <c r="C157" s="86"/>
      <c r="D157" s="86"/>
      <c r="E157" s="88" t="s">
        <v>104</v>
      </c>
      <c r="F157" s="86"/>
      <c r="G157" s="87" t="s">
        <v>104</v>
      </c>
      <c r="H157" s="86"/>
      <c r="I157" s="86"/>
    </row>
    <row r="158" spans="1:9" s="85" customFormat="1" ht="12.75" x14ac:dyDescent="0.2">
      <c r="A158" s="85" t="s">
        <v>196</v>
      </c>
      <c r="I158" s="102">
        <v>8651084</v>
      </c>
    </row>
    <row r="159" spans="1:9" s="85" customFormat="1" ht="12.75" x14ac:dyDescent="0.2">
      <c r="I159" s="102"/>
    </row>
    <row r="160" spans="1:9" s="85" customFormat="1" ht="12.75" x14ac:dyDescent="0.2">
      <c r="A160" s="91" t="s">
        <v>106</v>
      </c>
      <c r="I160" s="102"/>
    </row>
    <row r="161" spans="1:9" s="85" customFormat="1" ht="12.75" x14ac:dyDescent="0.2">
      <c r="A161" s="91"/>
      <c r="I161" s="102"/>
    </row>
    <row r="162" spans="1:9" s="85" customFormat="1" ht="12.75" x14ac:dyDescent="0.2">
      <c r="A162" s="85" t="s">
        <v>107</v>
      </c>
      <c r="E162" s="102">
        <v>8457179</v>
      </c>
      <c r="G162" s="102">
        <v>9650000</v>
      </c>
      <c r="I162" s="102">
        <f>G162-E162</f>
        <v>1192821</v>
      </c>
    </row>
    <row r="163" spans="1:9" s="85" customFormat="1" ht="12.75" x14ac:dyDescent="0.2">
      <c r="A163" s="85" t="s">
        <v>108</v>
      </c>
      <c r="E163" s="102">
        <v>46529</v>
      </c>
      <c r="G163" s="102">
        <v>46529</v>
      </c>
      <c r="I163" s="102">
        <v>0</v>
      </c>
    </row>
    <row r="164" spans="1:9" s="85" customFormat="1" ht="12.75" x14ac:dyDescent="0.2">
      <c r="A164" s="85" t="s">
        <v>161</v>
      </c>
      <c r="E164" s="102">
        <v>202000</v>
      </c>
      <c r="G164" s="102">
        <v>1465978</v>
      </c>
      <c r="I164" s="102">
        <f>G164-E164</f>
        <v>1263978</v>
      </c>
    </row>
    <row r="165" spans="1:9" s="85" customFormat="1" ht="12.75" x14ac:dyDescent="0.2">
      <c r="A165" s="85" t="s">
        <v>109</v>
      </c>
      <c r="E165" s="102">
        <v>52593</v>
      </c>
      <c r="G165" s="102">
        <v>52593</v>
      </c>
      <c r="I165" s="102">
        <f>G165-E165</f>
        <v>0</v>
      </c>
    </row>
    <row r="166" spans="1:9" s="85" customFormat="1" ht="12.75" x14ac:dyDescent="0.2">
      <c r="A166" s="85" t="s">
        <v>110</v>
      </c>
      <c r="E166" s="102">
        <v>122337</v>
      </c>
      <c r="G166" s="102">
        <v>122337</v>
      </c>
      <c r="I166" s="102">
        <f>G166-E166</f>
        <v>0</v>
      </c>
    </row>
    <row r="167" spans="1:9" s="85" customFormat="1" ht="12.75" x14ac:dyDescent="0.2">
      <c r="A167" s="85" t="s">
        <v>111</v>
      </c>
      <c r="E167" s="102">
        <v>4993</v>
      </c>
      <c r="G167" s="102">
        <v>4993</v>
      </c>
      <c r="I167" s="102">
        <f>G167-E167</f>
        <v>0</v>
      </c>
    </row>
    <row r="168" spans="1:9" s="85" customFormat="1" ht="12.75" x14ac:dyDescent="0.2">
      <c r="A168" s="85" t="s">
        <v>112</v>
      </c>
      <c r="E168" s="99">
        <v>3320433</v>
      </c>
      <c r="G168" s="102">
        <v>3320433</v>
      </c>
      <c r="I168" s="102">
        <f>G168-E168</f>
        <v>0</v>
      </c>
    </row>
    <row r="169" spans="1:9" s="85" customFormat="1" ht="12.75" x14ac:dyDescent="0.2">
      <c r="E169" s="102"/>
      <c r="G169" s="102"/>
      <c r="I169" s="102"/>
    </row>
    <row r="170" spans="1:9" s="85" customFormat="1" ht="12.75" x14ac:dyDescent="0.2">
      <c r="A170" s="85" t="s">
        <v>113</v>
      </c>
      <c r="E170" s="99">
        <f>SUM(E162:E169)</f>
        <v>12206064</v>
      </c>
      <c r="G170" s="102"/>
      <c r="I170" s="102"/>
    </row>
    <row r="171" spans="1:9" x14ac:dyDescent="0.25">
      <c r="A171" s="85"/>
      <c r="B171" s="85"/>
      <c r="C171" s="85"/>
      <c r="D171" s="85"/>
      <c r="E171" s="102"/>
      <c r="F171" s="85"/>
      <c r="G171" s="102"/>
      <c r="H171" s="85"/>
      <c r="I171" s="102"/>
    </row>
    <row r="172" spans="1:9" x14ac:dyDescent="0.25">
      <c r="A172" s="91" t="s">
        <v>114</v>
      </c>
      <c r="B172" s="91"/>
      <c r="C172" s="91"/>
      <c r="D172" s="91"/>
      <c r="E172" s="105"/>
      <c r="F172" s="91"/>
      <c r="G172" s="105"/>
      <c r="H172" s="91"/>
      <c r="I172" s="105"/>
    </row>
    <row r="173" spans="1:9" x14ac:dyDescent="0.25">
      <c r="A173" s="91"/>
      <c r="B173" s="91"/>
      <c r="C173" s="91"/>
      <c r="D173" s="91"/>
      <c r="E173" s="105"/>
      <c r="F173" s="91"/>
      <c r="G173" s="105"/>
      <c r="H173" s="91"/>
      <c r="I173" s="105"/>
    </row>
    <row r="174" spans="1:9" x14ac:dyDescent="0.25">
      <c r="A174" s="85" t="s">
        <v>115</v>
      </c>
      <c r="B174" s="85"/>
      <c r="C174" s="85"/>
      <c r="D174" s="85"/>
      <c r="E174" s="102">
        <v>495185</v>
      </c>
      <c r="F174" s="85"/>
      <c r="G174" s="102">
        <v>0</v>
      </c>
      <c r="H174" s="85"/>
      <c r="I174" s="102">
        <f>E174-EG50</f>
        <v>495185</v>
      </c>
    </row>
    <row r="175" spans="1:9" x14ac:dyDescent="0.25">
      <c r="A175" s="85" t="s">
        <v>116</v>
      </c>
      <c r="B175" s="85"/>
      <c r="C175" s="85"/>
      <c r="D175" s="85"/>
      <c r="E175" s="102">
        <v>21000</v>
      </c>
      <c r="F175" s="85"/>
      <c r="G175" s="102">
        <v>21000</v>
      </c>
      <c r="H175" s="85"/>
      <c r="I175" s="102">
        <f>E175-G175</f>
        <v>0</v>
      </c>
    </row>
    <row r="176" spans="1:9" x14ac:dyDescent="0.25">
      <c r="A176" s="85" t="s">
        <v>117</v>
      </c>
      <c r="B176" s="85"/>
      <c r="C176" s="85"/>
      <c r="D176" s="85"/>
      <c r="E176" s="102">
        <v>782879</v>
      </c>
      <c r="F176" s="85"/>
      <c r="G176" s="102">
        <v>782879</v>
      </c>
      <c r="H176" s="85"/>
      <c r="I176" s="102">
        <f>E176-G176</f>
        <v>0</v>
      </c>
    </row>
    <row r="177" spans="1:9" x14ac:dyDescent="0.25">
      <c r="A177" s="85" t="s">
        <v>118</v>
      </c>
      <c r="B177" s="85"/>
      <c r="C177" s="85"/>
      <c r="D177" s="85"/>
      <c r="E177" s="102">
        <v>1084149</v>
      </c>
      <c r="F177" s="85"/>
      <c r="G177" s="102">
        <v>0</v>
      </c>
      <c r="H177" s="85"/>
      <c r="I177" s="102">
        <f>E177-G177</f>
        <v>1084149</v>
      </c>
    </row>
    <row r="178" spans="1:9" x14ac:dyDescent="0.25">
      <c r="A178" s="85" t="s">
        <v>119</v>
      </c>
      <c r="B178" s="85"/>
      <c r="C178" s="85"/>
      <c r="D178" s="85"/>
      <c r="E178" s="102">
        <v>995404</v>
      </c>
      <c r="F178" s="85"/>
      <c r="G178" s="102">
        <v>995404</v>
      </c>
      <c r="H178" s="85"/>
      <c r="I178" s="102">
        <f>E178-G178</f>
        <v>0</v>
      </c>
    </row>
    <row r="179" spans="1:9" x14ac:dyDescent="0.25">
      <c r="A179" s="85" t="s">
        <v>120</v>
      </c>
      <c r="B179" s="85"/>
      <c r="C179" s="85"/>
      <c r="D179" s="85"/>
      <c r="E179" s="99">
        <v>176363</v>
      </c>
      <c r="F179" s="85"/>
      <c r="G179" s="102">
        <v>176363</v>
      </c>
      <c r="H179" s="85"/>
      <c r="I179" s="102">
        <f>E179-G179</f>
        <v>0</v>
      </c>
    </row>
    <row r="180" spans="1:9" x14ac:dyDescent="0.25">
      <c r="A180" s="85"/>
      <c r="B180" s="85"/>
      <c r="C180" s="85"/>
      <c r="D180" s="85"/>
      <c r="E180" s="102"/>
      <c r="F180" s="85"/>
      <c r="G180" s="101"/>
      <c r="H180" s="85"/>
      <c r="I180" s="102"/>
    </row>
    <row r="181" spans="1:9" x14ac:dyDescent="0.25">
      <c r="A181" s="85" t="s">
        <v>121</v>
      </c>
      <c r="B181" s="85"/>
      <c r="C181" s="85"/>
      <c r="D181" s="85"/>
      <c r="E181" s="99">
        <f>SUM(E174:E180)</f>
        <v>3554980</v>
      </c>
      <c r="F181" s="85"/>
      <c r="G181" s="101"/>
      <c r="H181" s="85"/>
      <c r="I181" s="102"/>
    </row>
    <row r="182" spans="1:9" x14ac:dyDescent="0.25">
      <c r="A182" s="85"/>
      <c r="B182" s="85"/>
      <c r="C182" s="85"/>
      <c r="D182" s="85"/>
      <c r="E182" s="102"/>
      <c r="F182" s="85"/>
      <c r="G182" s="101"/>
      <c r="H182" s="85"/>
      <c r="I182" s="102"/>
    </row>
    <row r="183" spans="1:9" s="90" customFormat="1" ht="15.75" x14ac:dyDescent="0.25">
      <c r="A183" s="91" t="s">
        <v>122</v>
      </c>
      <c r="B183" s="85"/>
      <c r="C183" s="85"/>
      <c r="D183" s="85"/>
      <c r="E183" s="102">
        <f>I158</f>
        <v>8651084</v>
      </c>
      <c r="F183" s="85"/>
      <c r="G183" s="101"/>
      <c r="H183" s="85"/>
      <c r="I183" s="102"/>
    </row>
    <row r="184" spans="1:9" s="85" customFormat="1" ht="12.75" x14ac:dyDescent="0.2">
      <c r="A184" s="91"/>
      <c r="E184" s="102"/>
      <c r="G184" s="101"/>
      <c r="I184" s="102"/>
    </row>
    <row r="185" spans="1:9" s="85" customFormat="1" ht="12.75" x14ac:dyDescent="0.2">
      <c r="A185" s="91" t="s">
        <v>123</v>
      </c>
      <c r="I185" s="104">
        <f>SUM(I162:I179)+E183</f>
        <v>12687217</v>
      </c>
    </row>
    <row r="186" spans="1:9" s="85" customFormat="1" ht="12.75" x14ac:dyDescent="0.2">
      <c r="A186" s="91"/>
      <c r="I186" s="105"/>
    </row>
    <row r="187" spans="1:9" s="85" customFormat="1" ht="12.75" x14ac:dyDescent="0.2">
      <c r="A187" s="91"/>
      <c r="I187" s="105"/>
    </row>
    <row r="188" spans="1:9" s="85" customFormat="1" ht="12.75" x14ac:dyDescent="0.2">
      <c r="A188" s="91" t="s">
        <v>124</v>
      </c>
      <c r="E188" s="92">
        <v>2.1999999999999999E-2</v>
      </c>
      <c r="I188" s="105">
        <f>I185*2.2/100</f>
        <v>279118.77400000003</v>
      </c>
    </row>
    <row r="189" spans="1:9" s="85" customFormat="1" ht="12.75" x14ac:dyDescent="0.2">
      <c r="A189" s="85" t="s">
        <v>125</v>
      </c>
      <c r="I189" s="102">
        <f>G11</f>
        <v>0</v>
      </c>
    </row>
    <row r="190" spans="1:9" s="85" customFormat="1" ht="12.75" x14ac:dyDescent="0.2">
      <c r="A190" s="85" t="s">
        <v>126</v>
      </c>
      <c r="I190" s="99">
        <f>I116</f>
        <v>0</v>
      </c>
    </row>
    <row r="191" spans="1:9" s="85" customFormat="1" ht="12.75" x14ac:dyDescent="0.2">
      <c r="I191" s="103">
        <f>SUM(I188:I190)</f>
        <v>279118.77400000003</v>
      </c>
    </row>
    <row r="192" spans="1:9" s="85" customFormat="1" ht="12.75" x14ac:dyDescent="0.2">
      <c r="I192" s="105"/>
    </row>
    <row r="193" spans="1:9" s="85" customFormat="1" ht="12.75" x14ac:dyDescent="0.2">
      <c r="A193" s="85" t="s">
        <v>198</v>
      </c>
      <c r="I193" s="101"/>
    </row>
    <row r="194" spans="1:9" s="85" customFormat="1" x14ac:dyDescent="0.25">
      <c r="A194"/>
      <c r="B194"/>
      <c r="C194"/>
      <c r="D194"/>
      <c r="E194"/>
      <c r="F194"/>
      <c r="G194"/>
      <c r="H194"/>
      <c r="I194"/>
    </row>
    <row r="195" spans="1:9" s="85" customFormat="1" x14ac:dyDescent="0.25">
      <c r="A195"/>
      <c r="B195"/>
      <c r="C195"/>
      <c r="D195"/>
      <c r="E195"/>
      <c r="F195"/>
      <c r="G195"/>
      <c r="H195"/>
      <c r="I195"/>
    </row>
    <row r="196" spans="1:9" s="85" customFormat="1" x14ac:dyDescent="0.25">
      <c r="A196"/>
      <c r="B196"/>
      <c r="C196"/>
      <c r="D196"/>
      <c r="E196"/>
      <c r="F196"/>
      <c r="G196"/>
      <c r="H196"/>
      <c r="I196"/>
    </row>
    <row r="197" spans="1:9" s="85" customFormat="1" x14ac:dyDescent="0.25">
      <c r="A197"/>
      <c r="B197"/>
      <c r="C197"/>
      <c r="D197"/>
      <c r="E197"/>
      <c r="F197"/>
      <c r="G197"/>
      <c r="H197"/>
      <c r="I197"/>
    </row>
    <row r="198" spans="1:9" s="85" customFormat="1" x14ac:dyDescent="0.25">
      <c r="A198"/>
      <c r="B198"/>
      <c r="C198"/>
      <c r="D198"/>
      <c r="E198"/>
      <c r="F198"/>
      <c r="G198"/>
      <c r="H198"/>
      <c r="I198"/>
    </row>
    <row r="199" spans="1:9" s="85" customFormat="1" x14ac:dyDescent="0.25">
      <c r="A199"/>
      <c r="B199"/>
      <c r="C199"/>
      <c r="D199"/>
      <c r="E199"/>
      <c r="F199"/>
      <c r="G199"/>
      <c r="H199"/>
      <c r="I199"/>
    </row>
    <row r="200" spans="1:9" s="85" customFormat="1" x14ac:dyDescent="0.25">
      <c r="A200"/>
      <c r="B200"/>
      <c r="C200"/>
      <c r="D200"/>
      <c r="E200"/>
      <c r="F200"/>
      <c r="G200"/>
      <c r="H200"/>
      <c r="I200"/>
    </row>
    <row r="205" spans="1:9" ht="18.75" x14ac:dyDescent="0.3">
      <c r="A205" s="94" t="s">
        <v>138</v>
      </c>
    </row>
    <row r="206" spans="1:9" x14ac:dyDescent="0.25">
      <c r="A206" t="s">
        <v>139</v>
      </c>
      <c r="G206" s="97">
        <f>Indtægter!J8</f>
        <v>4510821.58</v>
      </c>
    </row>
    <row r="207" spans="1:9" x14ac:dyDescent="0.25">
      <c r="A207" t="s">
        <v>140</v>
      </c>
      <c r="G207" s="109">
        <f>I59+I70</f>
        <v>584133</v>
      </c>
      <c r="I207" s="95">
        <f>SUM(G207/G208)</f>
        <v>0.11464930468526374</v>
      </c>
    </row>
    <row r="208" spans="1:9" x14ac:dyDescent="0.25">
      <c r="G208" s="97">
        <f>SUM(G206:G207)</f>
        <v>5094954.58</v>
      </c>
    </row>
    <row r="209" spans="1:9" x14ac:dyDescent="0.25">
      <c r="G209" s="97"/>
    </row>
    <row r="210" spans="1:9" x14ac:dyDescent="0.25">
      <c r="A210" t="s">
        <v>21</v>
      </c>
      <c r="G210" s="97">
        <f>'Adm.omk.'!J5</f>
        <v>618992.16666666663</v>
      </c>
    </row>
    <row r="211" spans="1:9" x14ac:dyDescent="0.25">
      <c r="A211" t="s">
        <v>141</v>
      </c>
      <c r="G211" s="97">
        <f>G64+G76</f>
        <v>279417</v>
      </c>
    </row>
    <row r="212" spans="1:9" x14ac:dyDescent="0.25">
      <c r="A212" t="s">
        <v>142</v>
      </c>
      <c r="G212" s="97">
        <f>I66+I78+I84</f>
        <v>-106389.1626</v>
      </c>
    </row>
    <row r="213" spans="1:9" x14ac:dyDescent="0.25">
      <c r="A213" t="s">
        <v>143</v>
      </c>
      <c r="G213" s="97"/>
    </row>
    <row r="214" spans="1:9" x14ac:dyDescent="0.25">
      <c r="A214" t="s">
        <v>197</v>
      </c>
      <c r="G214" s="97">
        <v>260910</v>
      </c>
    </row>
    <row r="215" spans="1:9" x14ac:dyDescent="0.25">
      <c r="A215" t="s">
        <v>174</v>
      </c>
      <c r="G215" s="97">
        <f>G214*6.37/100</f>
        <v>16619.967000000001</v>
      </c>
    </row>
    <row r="216" spans="1:9" x14ac:dyDescent="0.25">
      <c r="A216" t="s">
        <v>144</v>
      </c>
      <c r="G216" s="97">
        <v>285822</v>
      </c>
    </row>
    <row r="217" spans="1:9" x14ac:dyDescent="0.25">
      <c r="A217" t="s">
        <v>162</v>
      </c>
      <c r="G217" s="97">
        <f>G216*6.37/100</f>
        <v>18206.861400000002</v>
      </c>
    </row>
    <row r="218" spans="1:9" x14ac:dyDescent="0.25">
      <c r="A218" t="s">
        <v>145</v>
      </c>
      <c r="G218" s="97">
        <v>337798</v>
      </c>
    </row>
    <row r="219" spans="1:9" x14ac:dyDescent="0.25">
      <c r="A219" t="s">
        <v>146</v>
      </c>
      <c r="G219" s="97">
        <f>G218*6.37/100</f>
        <v>21517.732600000003</v>
      </c>
    </row>
    <row r="220" spans="1:9" x14ac:dyDescent="0.25">
      <c r="A220" t="s">
        <v>147</v>
      </c>
      <c r="G220" s="97">
        <f>I118</f>
        <v>0</v>
      </c>
    </row>
    <row r="221" spans="1:9" x14ac:dyDescent="0.25">
      <c r="G221" s="97"/>
    </row>
    <row r="222" spans="1:9" x14ac:dyDescent="0.25">
      <c r="A222" t="s">
        <v>148</v>
      </c>
      <c r="G222" s="97">
        <v>16281</v>
      </c>
    </row>
    <row r="224" spans="1:9" x14ac:dyDescent="0.25">
      <c r="G224" s="97"/>
      <c r="I224" s="98">
        <f>G226*I207</f>
        <v>200541.76230734662</v>
      </c>
    </row>
    <row r="225" spans="1:9" x14ac:dyDescent="0.25">
      <c r="G225" s="97"/>
      <c r="I225" s="98"/>
    </row>
    <row r="226" spans="1:9" x14ac:dyDescent="0.25">
      <c r="A226" t="s">
        <v>149</v>
      </c>
      <c r="G226" s="97">
        <f>SUM(G210:G224)</f>
        <v>1749175.5650666666</v>
      </c>
    </row>
    <row r="227" spans="1:9" x14ac:dyDescent="0.25">
      <c r="G227" s="97"/>
    </row>
    <row r="229" spans="1:9" x14ac:dyDescent="0.25">
      <c r="A229" t="s">
        <v>150</v>
      </c>
      <c r="G229" t="s">
        <v>151</v>
      </c>
    </row>
    <row r="230" spans="1:9" x14ac:dyDescent="0.25">
      <c r="A230" t="s">
        <v>152</v>
      </c>
      <c r="G230">
        <v>1009</v>
      </c>
    </row>
    <row r="231" spans="1:9" x14ac:dyDescent="0.25">
      <c r="A231" t="s">
        <v>153</v>
      </c>
      <c r="G231">
        <v>0</v>
      </c>
    </row>
    <row r="232" spans="1:9" x14ac:dyDescent="0.25">
      <c r="A232" t="s">
        <v>157</v>
      </c>
      <c r="G232">
        <v>315</v>
      </c>
    </row>
    <row r="233" spans="1:9" x14ac:dyDescent="0.25">
      <c r="A233" t="s">
        <v>154</v>
      </c>
      <c r="G233">
        <f>G230-G231-G232</f>
        <v>694</v>
      </c>
    </row>
    <row r="235" spans="1:9" x14ac:dyDescent="0.25">
      <c r="A235" t="s">
        <v>155</v>
      </c>
    </row>
    <row r="237" spans="1:9" x14ac:dyDescent="0.25">
      <c r="A237" t="s">
        <v>150</v>
      </c>
      <c r="G237" t="s">
        <v>156</v>
      </c>
    </row>
    <row r="238" spans="1:9" x14ac:dyDescent="0.25">
      <c r="A238" t="s">
        <v>152</v>
      </c>
      <c r="G238">
        <v>798</v>
      </c>
    </row>
    <row r="239" spans="1:9" x14ac:dyDescent="0.25">
      <c r="A239" t="s">
        <v>153</v>
      </c>
      <c r="G239">
        <v>268</v>
      </c>
    </row>
    <row r="240" spans="1:9" x14ac:dyDescent="0.25">
      <c r="A240" t="s">
        <v>158</v>
      </c>
      <c r="G240">
        <v>115</v>
      </c>
    </row>
    <row r="241" spans="1:7" x14ac:dyDescent="0.25">
      <c r="A241" t="s">
        <v>154</v>
      </c>
      <c r="G241">
        <f>G238-G239-G240</f>
        <v>415</v>
      </c>
    </row>
    <row r="243" spans="1:7" x14ac:dyDescent="0.25">
      <c r="A243" t="s">
        <v>159</v>
      </c>
    </row>
    <row r="245" spans="1:7" x14ac:dyDescent="0.25">
      <c r="A245" t="s">
        <v>160</v>
      </c>
    </row>
  </sheetData>
  <pageMargins left="0.23622047244094491" right="0.23622047244094491" top="0.74803149606299213" bottom="0.74803149606299213" header="0.31496062992125984" footer="0.31496062992125984"/>
  <pageSetup paperSize="9" firstPageNumber="27" orientation="portrait" useFirstPageNumber="1" r:id="rId1"/>
  <headerFooter>
    <oddFooter>&amp;R
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E39C-A4FC-4397-B3E0-7B2C0C241DBA}">
  <sheetPr codeName="Ark14"/>
  <dimension ref="A2:J10"/>
  <sheetViews>
    <sheetView workbookViewId="0">
      <selection activeCell="G9" sqref="G9"/>
    </sheetView>
  </sheetViews>
  <sheetFormatPr defaultRowHeight="15" x14ac:dyDescent="0.25"/>
  <cols>
    <col min="6" max="6" width="4.5703125" customWidth="1"/>
  </cols>
  <sheetData>
    <row r="2" spans="1:10" x14ac:dyDescent="0.25">
      <c r="A2" t="s">
        <v>164</v>
      </c>
    </row>
    <row r="3" spans="1:10" x14ac:dyDescent="0.25">
      <c r="E3" s="1" t="s">
        <v>151</v>
      </c>
      <c r="G3" s="1" t="s">
        <v>156</v>
      </c>
    </row>
    <row r="5" spans="1:10" x14ac:dyDescent="0.25">
      <c r="A5" t="s">
        <v>165</v>
      </c>
      <c r="E5">
        <v>248600</v>
      </c>
      <c r="G5">
        <v>94494</v>
      </c>
      <c r="H5">
        <f>SUM(E5:G5)</f>
        <v>343094</v>
      </c>
      <c r="J5" t="s">
        <v>170</v>
      </c>
    </row>
    <row r="6" spans="1:10" x14ac:dyDescent="0.25">
      <c r="A6" t="s">
        <v>168</v>
      </c>
      <c r="G6">
        <v>161905</v>
      </c>
      <c r="H6">
        <f>SUM(G6)</f>
        <v>161905</v>
      </c>
      <c r="J6" t="s">
        <v>191</v>
      </c>
    </row>
    <row r="7" spans="1:10" x14ac:dyDescent="0.25">
      <c r="A7" t="s">
        <v>169</v>
      </c>
      <c r="G7">
        <v>22000</v>
      </c>
      <c r="H7">
        <f>SUM(E7:G7)</f>
        <v>22000</v>
      </c>
      <c r="J7" t="s">
        <v>171</v>
      </c>
    </row>
    <row r="8" spans="1:10" x14ac:dyDescent="0.25">
      <c r="A8" t="s">
        <v>166</v>
      </c>
      <c r="E8">
        <v>31400</v>
      </c>
      <c r="G8">
        <v>12734</v>
      </c>
      <c r="H8">
        <f>SUM(E8:G8)</f>
        <v>44134</v>
      </c>
      <c r="J8" t="s">
        <v>173</v>
      </c>
    </row>
    <row r="9" spans="1:10" x14ac:dyDescent="0.25">
      <c r="A9" t="s">
        <v>167</v>
      </c>
      <c r="E9" s="107">
        <v>13000</v>
      </c>
      <c r="G9" s="107"/>
      <c r="H9" s="107">
        <f>SUM(E9:G9)</f>
        <v>13000</v>
      </c>
      <c r="J9" t="s">
        <v>172</v>
      </c>
    </row>
    <row r="10" spans="1:10" x14ac:dyDescent="0.25">
      <c r="E10" s="108">
        <f>SUM(E5:E9)</f>
        <v>293000</v>
      </c>
      <c r="G10" s="108">
        <f>SUM(G5:G9)</f>
        <v>291133</v>
      </c>
      <c r="H10" s="108">
        <f>SUM(H5:H9)</f>
        <v>584133</v>
      </c>
    </row>
  </sheetData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>
    <oddFooter>&amp;R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L31"/>
  <sheetViews>
    <sheetView showGridLines="0" topLeftCell="B1" workbookViewId="0">
      <selection activeCell="J23" sqref="J23"/>
    </sheetView>
  </sheetViews>
  <sheetFormatPr defaultRowHeight="15" x14ac:dyDescent="0.25"/>
  <cols>
    <col min="1" max="1" width="9.140625" style="3" hidden="1" customWidth="1"/>
    <col min="2" max="2" width="35.7109375" customWidth="1"/>
    <col min="3" max="3" width="12.85546875" customWidth="1"/>
    <col min="4" max="4" width="15.7109375" style="5" customWidth="1"/>
    <col min="5" max="5" width="3.7109375" customWidth="1"/>
    <col min="6" max="6" width="15.7109375" style="5" customWidth="1"/>
    <col min="7" max="7" width="3.7109375" customWidth="1"/>
    <col min="8" max="8" width="15.7109375" style="5" customWidth="1"/>
    <col min="9" max="9" width="3.7109375" customWidth="1"/>
    <col min="10" max="10" width="12.140625" style="5" bestFit="1" customWidth="1"/>
    <col min="11" max="11" width="10" style="3" bestFit="1" customWidth="1"/>
  </cols>
  <sheetData>
    <row r="1" spans="1:12" ht="21" x14ac:dyDescent="0.35">
      <c r="A1" s="69" t="str">
        <f>'Budget oversigt'!A1:I1</f>
        <v>FOA Mariagerfjord</v>
      </c>
      <c r="B1" s="69" t="s">
        <v>318</v>
      </c>
      <c r="C1" s="69"/>
      <c r="D1" s="69"/>
      <c r="E1" s="69"/>
      <c r="F1" s="69"/>
      <c r="G1" s="69"/>
      <c r="H1" s="69"/>
      <c r="I1" s="69"/>
      <c r="J1" s="69"/>
    </row>
    <row r="2" spans="1:12" ht="15.4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ht="15.4" customHeight="1" x14ac:dyDescent="0.25">
      <c r="L3" s="54"/>
    </row>
    <row r="4" spans="1:12" s="52" customFormat="1" x14ac:dyDescent="0.25">
      <c r="D4" s="50" t="str">
        <f>'Budget oversigt'!C2</f>
        <v>Regnskab 2022</v>
      </c>
      <c r="E4" s="50"/>
      <c r="F4" s="50" t="str">
        <f>'Budget oversigt'!E2</f>
        <v>Regnskab 2023</v>
      </c>
      <c r="G4" s="51"/>
      <c r="H4" s="50" t="str">
        <f>'Budget oversigt'!G2</f>
        <v>Regnskab 2024</v>
      </c>
      <c r="I4" s="73"/>
      <c r="J4" s="61" t="str">
        <f>'Budget oversigt'!I2</f>
        <v>Budget 2026</v>
      </c>
      <c r="K4" s="53" t="s">
        <v>65</v>
      </c>
    </row>
    <row r="5" spans="1:12" x14ac:dyDescent="0.25">
      <c r="D5" s="44"/>
      <c r="F5" s="44"/>
      <c r="H5" s="44"/>
      <c r="J5" s="62"/>
    </row>
    <row r="6" spans="1:12" s="1" customFormat="1" x14ac:dyDescent="0.25">
      <c r="A6" s="2"/>
      <c r="B6" s="1" t="s">
        <v>1</v>
      </c>
      <c r="D6" s="70">
        <f>D8+D16</f>
        <v>4488582</v>
      </c>
      <c r="F6" s="70">
        <f>F8+F16</f>
        <v>4584085</v>
      </c>
      <c r="G6" s="48"/>
      <c r="H6" s="46">
        <f>H8+H16</f>
        <v>4816542</v>
      </c>
      <c r="I6" s="48"/>
      <c r="J6" s="64">
        <f>J8+J16</f>
        <v>4710821.58</v>
      </c>
      <c r="K6" s="2"/>
    </row>
    <row r="7" spans="1:12" s="1" customFormat="1" x14ac:dyDescent="0.25">
      <c r="A7" s="2"/>
      <c r="D7" s="71"/>
      <c r="F7" s="71"/>
      <c r="G7" s="48"/>
      <c r="H7" s="48"/>
      <c r="I7" s="48"/>
      <c r="J7" s="65"/>
      <c r="K7" s="2"/>
    </row>
    <row r="8" spans="1:12" x14ac:dyDescent="0.25">
      <c r="B8" s="1" t="s">
        <v>53</v>
      </c>
      <c r="D8" s="46">
        <f>SUM(D10:D12)</f>
        <v>4341327</v>
      </c>
      <c r="E8" s="48"/>
      <c r="F8" s="46">
        <f>SUM(F10:F12)</f>
        <v>4423602</v>
      </c>
      <c r="G8" s="48"/>
      <c r="H8" s="46">
        <f>SUM(H10:H12)</f>
        <v>4603161</v>
      </c>
      <c r="I8" s="48"/>
      <c r="J8" s="64">
        <f>SUM(J10:J12)</f>
        <v>4510821.58</v>
      </c>
    </row>
    <row r="9" spans="1:12" x14ac:dyDescent="0.25">
      <c r="B9" s="1"/>
      <c r="D9" s="48"/>
      <c r="F9" s="48"/>
      <c r="H9" s="44"/>
      <c r="J9" s="62"/>
    </row>
    <row r="10" spans="1:12" x14ac:dyDescent="0.25">
      <c r="A10" s="3">
        <v>10010</v>
      </c>
      <c r="B10" t="s">
        <v>13</v>
      </c>
      <c r="D10" s="44">
        <v>4197327</v>
      </c>
      <c r="F10" s="44">
        <v>4279602</v>
      </c>
      <c r="H10" s="44">
        <v>4453211</v>
      </c>
      <c r="J10" s="62">
        <f>Kontingent!B51</f>
        <v>4366821.58</v>
      </c>
      <c r="K10" s="80"/>
    </row>
    <row r="11" spans="1:12" x14ac:dyDescent="0.25">
      <c r="B11" t="s">
        <v>331</v>
      </c>
      <c r="H11" s="5">
        <v>5950</v>
      </c>
      <c r="J11" s="62"/>
    </row>
    <row r="12" spans="1:12" x14ac:dyDescent="0.25">
      <c r="B12" t="s">
        <v>199</v>
      </c>
      <c r="D12" s="44">
        <v>144000</v>
      </c>
      <c r="F12" s="44">
        <v>144000</v>
      </c>
      <c r="H12" s="44">
        <v>144000</v>
      </c>
      <c r="J12" s="62">
        <v>144000</v>
      </c>
      <c r="K12" s="80"/>
    </row>
    <row r="13" spans="1:12" x14ac:dyDescent="0.25">
      <c r="H13" s="44"/>
    </row>
    <row r="14" spans="1:12" x14ac:dyDescent="0.25">
      <c r="H14" s="44"/>
    </row>
    <row r="15" spans="1:12" x14ac:dyDescent="0.25">
      <c r="D15" s="44"/>
      <c r="F15" s="44"/>
      <c r="H15" s="44"/>
      <c r="J15" s="62"/>
    </row>
    <row r="16" spans="1:12" s="1" customFormat="1" x14ac:dyDescent="0.25">
      <c r="A16" s="2"/>
      <c r="B16" s="1" t="s">
        <v>14</v>
      </c>
      <c r="D16" s="70">
        <f>SUM(D17:D23)</f>
        <v>147255</v>
      </c>
      <c r="F16" s="70">
        <f>SUM(F17:F22)</f>
        <v>160483</v>
      </c>
      <c r="G16" s="48"/>
      <c r="H16" s="46">
        <f>SUM(H17:H22)</f>
        <v>213381</v>
      </c>
      <c r="I16" s="48"/>
      <c r="J16" s="64">
        <f>SUM(J17:J22)</f>
        <v>200000</v>
      </c>
      <c r="K16" s="2"/>
    </row>
    <row r="17" spans="1:12" x14ac:dyDescent="0.25">
      <c r="D17" s="44"/>
      <c r="F17" s="44"/>
      <c r="H17" s="44"/>
      <c r="J17" s="62"/>
    </row>
    <row r="18" spans="1:12" x14ac:dyDescent="0.25">
      <c r="A18" s="3">
        <v>15065</v>
      </c>
      <c r="B18" t="s">
        <v>325</v>
      </c>
      <c r="D18" s="44"/>
      <c r="F18" s="44"/>
      <c r="H18" s="44">
        <v>39785</v>
      </c>
      <c r="J18" s="62">
        <v>40000</v>
      </c>
    </row>
    <row r="19" spans="1:12" x14ac:dyDescent="0.25">
      <c r="B19" t="s">
        <v>51</v>
      </c>
      <c r="D19" s="44"/>
      <c r="F19" s="44"/>
      <c r="H19" s="44">
        <v>85</v>
      </c>
      <c r="J19" s="62"/>
    </row>
    <row r="20" spans="1:12" x14ac:dyDescent="0.25">
      <c r="B20" t="s">
        <v>0</v>
      </c>
      <c r="D20" s="44">
        <v>2711</v>
      </c>
      <c r="F20" s="44">
        <v>5086</v>
      </c>
      <c r="H20" s="44"/>
      <c r="J20" s="62"/>
      <c r="L20" t="s">
        <v>350</v>
      </c>
    </row>
    <row r="21" spans="1:12" x14ac:dyDescent="0.25">
      <c r="B21" t="s">
        <v>252</v>
      </c>
      <c r="D21" s="44"/>
      <c r="F21" s="44">
        <v>9600</v>
      </c>
      <c r="H21" s="44"/>
      <c r="J21" s="62"/>
    </row>
    <row r="22" spans="1:12" x14ac:dyDescent="0.25">
      <c r="A22" s="3">
        <v>15110</v>
      </c>
      <c r="B22" t="s">
        <v>48</v>
      </c>
      <c r="D22" s="44">
        <v>144544</v>
      </c>
      <c r="F22" s="44">
        <v>145797</v>
      </c>
      <c r="H22" s="44">
        <v>173511</v>
      </c>
      <c r="J22" s="62">
        <v>160000</v>
      </c>
    </row>
    <row r="23" spans="1:12" x14ac:dyDescent="0.25">
      <c r="D23" s="44">
        <v>0</v>
      </c>
      <c r="F23" s="44"/>
      <c r="H23" s="44"/>
      <c r="J23" s="44"/>
    </row>
    <row r="24" spans="1:12" x14ac:dyDescent="0.25">
      <c r="B24" s="1"/>
      <c r="H24" s="44"/>
      <c r="J24" s="44"/>
    </row>
    <row r="25" spans="1:12" hidden="1" x14ac:dyDescent="0.25">
      <c r="A25" s="3">
        <v>10040</v>
      </c>
      <c r="D25" s="5">
        <v>91497.52</v>
      </c>
      <c r="F25" s="5">
        <v>91497.52</v>
      </c>
    </row>
    <row r="26" spans="1:12" hidden="1" x14ac:dyDescent="0.25">
      <c r="A26" s="3">
        <v>15205</v>
      </c>
      <c r="D26" s="5">
        <v>154222.6</v>
      </c>
      <c r="F26" s="5">
        <v>154222.6</v>
      </c>
    </row>
    <row r="27" spans="1:12" hidden="1" x14ac:dyDescent="0.25">
      <c r="A27" s="3">
        <v>15210</v>
      </c>
      <c r="D27" s="5">
        <v>979</v>
      </c>
      <c r="F27" s="5">
        <v>979</v>
      </c>
    </row>
    <row r="28" spans="1:12" hidden="1" x14ac:dyDescent="0.25">
      <c r="A28" s="3">
        <v>15035</v>
      </c>
      <c r="D28" s="5">
        <v>7860</v>
      </c>
      <c r="F28" s="5">
        <v>7860</v>
      </c>
    </row>
    <row r="29" spans="1:12" hidden="1" x14ac:dyDescent="0.25">
      <c r="D29" s="7">
        <f>SUM(D25:D28)</f>
        <v>254559.12</v>
      </c>
      <c r="F29" s="7">
        <f>SUM(F25:F28)</f>
        <v>254559.12</v>
      </c>
    </row>
    <row r="30" spans="1:12" hidden="1" x14ac:dyDescent="0.25"/>
    <row r="31" spans="1:12" hidden="1" x14ac:dyDescent="0.25">
      <c r="D31" s="7" t="e">
        <f>#REF!+D29</f>
        <v>#REF!</v>
      </c>
      <c r="F31" s="7" t="e">
        <f>#REF!+F29</f>
        <v>#REF!</v>
      </c>
    </row>
  </sheetData>
  <pageMargins left="0.23622047244094491" right="0.23622047244094491" top="0.74803149606299213" bottom="0.74803149606299213" header="0.31496062992125984" footer="0.31496062992125984"/>
  <pageSetup paperSize="9" scale="97" firstPageNumber="2" orientation="landscape" useFirstPageNumber="1" r:id="rId1"/>
  <headerFooter>
    <oddFooter>&amp;R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264B-733F-40F4-8447-DB8C140C83A5}">
  <dimension ref="A1:M52"/>
  <sheetViews>
    <sheetView showGridLines="0" topLeftCell="A26" workbookViewId="0">
      <selection activeCell="F42" sqref="F42"/>
    </sheetView>
  </sheetViews>
  <sheetFormatPr defaultColWidth="9.28515625" defaultRowHeight="15" x14ac:dyDescent="0.25"/>
  <cols>
    <col min="1" max="1" width="42" bestFit="1" customWidth="1"/>
    <col min="2" max="2" width="13.42578125" customWidth="1"/>
    <col min="3" max="3" width="6.42578125" bestFit="1" customWidth="1"/>
    <col min="6" max="6" width="57.5703125" bestFit="1" customWidth="1"/>
  </cols>
  <sheetData>
    <row r="1" spans="1:13" ht="18.75" x14ac:dyDescent="0.3">
      <c r="A1" s="94" t="s">
        <v>318</v>
      </c>
      <c r="B1" s="94"/>
    </row>
    <row r="3" spans="1:13" ht="18" x14ac:dyDescent="0.25">
      <c r="A3" s="128" t="s">
        <v>255</v>
      </c>
      <c r="B3" s="129"/>
      <c r="C3" s="129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x14ac:dyDescent="0.25">
      <c r="A4" s="131"/>
      <c r="B4" s="129"/>
      <c r="C4" s="129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ht="15.75" thickBot="1" x14ac:dyDescent="0.3">
      <c r="A5" s="129"/>
      <c r="B5" s="129"/>
      <c r="C5" s="129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x14ac:dyDescent="0.25">
      <c r="A6" s="132" t="s">
        <v>323</v>
      </c>
      <c r="B6" s="133"/>
      <c r="C6" s="134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x14ac:dyDescent="0.25">
      <c r="A7" s="135"/>
      <c r="B7" s="136"/>
      <c r="C7" s="137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x14ac:dyDescent="0.25">
      <c r="A8" s="135" t="s">
        <v>324</v>
      </c>
      <c r="B8" s="138" t="s">
        <v>256</v>
      </c>
      <c r="C8" s="139">
        <v>119.7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x14ac:dyDescent="0.25">
      <c r="A9" s="135" t="s">
        <v>272</v>
      </c>
      <c r="B9" s="136" t="s">
        <v>256</v>
      </c>
      <c r="C9" s="139">
        <v>118.01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x14ac:dyDescent="0.25">
      <c r="A10" s="135" t="s">
        <v>257</v>
      </c>
      <c r="B10" s="136" t="s">
        <v>256</v>
      </c>
      <c r="C10" s="139">
        <f>SUM(C8-C9)</f>
        <v>1.6899999999999977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5">
      <c r="A11" s="135"/>
      <c r="B11" s="136"/>
      <c r="C11" s="137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x14ac:dyDescent="0.25">
      <c r="A12" s="135" t="s">
        <v>258</v>
      </c>
      <c r="B12" s="136" t="s">
        <v>259</v>
      </c>
      <c r="C12" s="139">
        <f>SUM(C10*100/C9)</f>
        <v>1.4320820269468668</v>
      </c>
      <c r="D12" s="130"/>
      <c r="E12" s="130"/>
      <c r="G12" s="130"/>
      <c r="H12" s="130"/>
      <c r="I12" s="130"/>
      <c r="J12" s="130"/>
      <c r="K12" s="130"/>
      <c r="L12" s="130"/>
      <c r="M12" s="130"/>
    </row>
    <row r="13" spans="1:13" x14ac:dyDescent="0.25">
      <c r="A13" s="135"/>
      <c r="B13" s="136"/>
      <c r="C13" s="137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5">
      <c r="A14" s="135" t="s">
        <v>261</v>
      </c>
      <c r="B14" s="136" t="s">
        <v>259</v>
      </c>
      <c r="C14" s="139">
        <f>SUM(C12*1.5)</f>
        <v>2.1481230404203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5">
      <c r="A15" s="135"/>
      <c r="B15" s="136"/>
      <c r="C15" s="137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5">
      <c r="A16" s="135"/>
      <c r="B16" s="136"/>
      <c r="C16" s="137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x14ac:dyDescent="0.25">
      <c r="A17" s="135" t="s">
        <v>262</v>
      </c>
      <c r="B17" s="136" t="s">
        <v>263</v>
      </c>
      <c r="C17" s="139">
        <v>284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x14ac:dyDescent="0.25">
      <c r="A18" s="135" t="s">
        <v>273</v>
      </c>
      <c r="B18" s="136" t="s">
        <v>263</v>
      </c>
      <c r="C18" s="139">
        <f>SUM(C17*C14/100)</f>
        <v>6.1006694347936525</v>
      </c>
      <c r="D18" s="130"/>
      <c r="E18" s="130"/>
      <c r="F18" s="130"/>
      <c r="G18" s="130"/>
      <c r="H18" s="130"/>
      <c r="I18" s="130"/>
      <c r="J18" s="130"/>
      <c r="K18" s="130"/>
      <c r="L18" s="130"/>
      <c r="M18" s="130"/>
    </row>
    <row r="19" spans="1:13" x14ac:dyDescent="0.25">
      <c r="A19" s="135" t="s">
        <v>336</v>
      </c>
      <c r="B19" s="136" t="s">
        <v>263</v>
      </c>
      <c r="C19" s="139">
        <v>5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0" spans="1:13" x14ac:dyDescent="0.25">
      <c r="A20" s="135" t="s">
        <v>264</v>
      </c>
      <c r="B20" s="136" t="s">
        <v>263</v>
      </c>
      <c r="C20" s="139">
        <f>SUM(C17+5)+(C18-C19)</f>
        <v>290.10066943479364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</row>
    <row r="21" spans="1:13" ht="15.75" thickBot="1" x14ac:dyDescent="0.3">
      <c r="A21" s="140"/>
      <c r="B21" s="141"/>
      <c r="C21" s="142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3" x14ac:dyDescent="0.25">
      <c r="A22" s="143"/>
      <c r="B22" s="143"/>
      <c r="C22" s="143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3" x14ac:dyDescent="0.25">
      <c r="A23" s="130" t="s">
        <v>260</v>
      </c>
      <c r="B23" s="143"/>
      <c r="C23" s="143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3" x14ac:dyDescent="0.25">
      <c r="A24" s="130"/>
      <c r="B24" s="143"/>
      <c r="C24" s="143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3" ht="16.5" x14ac:dyDescent="0.3">
      <c r="A25" s="144" t="s">
        <v>265</v>
      </c>
      <c r="B25" s="145">
        <v>1</v>
      </c>
      <c r="C25" s="146">
        <v>284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5">
      <c r="A26" s="144" t="s">
        <v>266</v>
      </c>
      <c r="B26" s="145">
        <v>0.85</v>
      </c>
      <c r="C26" s="147">
        <f>SUM(C25*B26)</f>
        <v>241.4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13" x14ac:dyDescent="0.25">
      <c r="A27" s="144" t="s">
        <v>266</v>
      </c>
      <c r="B27" s="145">
        <v>0.4</v>
      </c>
      <c r="C27" s="147">
        <f>SUM(C25*B27)</f>
        <v>113.60000000000001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13" x14ac:dyDescent="0.25">
      <c r="A28" s="144" t="s">
        <v>266</v>
      </c>
      <c r="B28" s="145">
        <v>0.06</v>
      </c>
      <c r="C28" s="147">
        <f>SUM(C25*B28)</f>
        <v>17.04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13" x14ac:dyDescent="0.25">
      <c r="A29" s="143"/>
      <c r="B29" s="143"/>
      <c r="C29" s="143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13" x14ac:dyDescent="0.25">
      <c r="A30" s="143"/>
      <c r="B30" s="143"/>
      <c r="C30" s="143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13" ht="16.5" x14ac:dyDescent="0.3">
      <c r="A31" s="144" t="s">
        <v>265</v>
      </c>
      <c r="B31" s="145">
        <v>1</v>
      </c>
      <c r="C31" s="148">
        <v>290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x14ac:dyDescent="0.25">
      <c r="A32" s="144" t="s">
        <v>266</v>
      </c>
      <c r="B32" s="145">
        <v>0.85</v>
      </c>
      <c r="C32" s="147">
        <f>SUM(C31*B32)</f>
        <v>246.5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5">
      <c r="A33" s="144" t="s">
        <v>266</v>
      </c>
      <c r="B33" s="145">
        <v>0.4</v>
      </c>
      <c r="C33" s="147">
        <f>SUM(C31*B33)</f>
        <v>116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x14ac:dyDescent="0.25">
      <c r="A34" s="144" t="s">
        <v>266</v>
      </c>
      <c r="B34" s="145">
        <v>0.06</v>
      </c>
      <c r="C34" s="147">
        <f>SUM(C31*B34)</f>
        <v>17.399999999999999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x14ac:dyDescent="0.25">
      <c r="A35" s="143"/>
      <c r="B35" s="143"/>
      <c r="C35" s="143"/>
      <c r="D35" s="130"/>
      <c r="E35" s="130"/>
      <c r="F35" s="130"/>
      <c r="G35" s="130"/>
      <c r="H35" s="130"/>
      <c r="I35" s="130"/>
      <c r="J35" s="130"/>
      <c r="K35" s="130"/>
      <c r="L35" s="130"/>
      <c r="M35" s="130"/>
    </row>
    <row r="36" spans="1:13" x14ac:dyDescent="0.25">
      <c r="A36" s="143"/>
      <c r="B36" s="143"/>
      <c r="C36" s="143"/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  <row r="39" spans="1:13" ht="16.5" x14ac:dyDescent="0.3">
      <c r="A39" s="149" t="s">
        <v>267</v>
      </c>
      <c r="B39" s="150"/>
      <c r="C39" s="150"/>
      <c r="D39" s="150"/>
      <c r="E39" s="129"/>
    </row>
    <row r="40" spans="1:13" ht="16.5" x14ac:dyDescent="0.3">
      <c r="A40" s="151" t="s">
        <v>337</v>
      </c>
      <c r="B40" s="129"/>
      <c r="C40" s="150"/>
      <c r="D40" s="150"/>
      <c r="E40" s="129"/>
    </row>
    <row r="41" spans="1:13" ht="16.5" x14ac:dyDescent="0.3">
      <c r="A41" s="151" t="s">
        <v>269</v>
      </c>
      <c r="B41" s="129"/>
      <c r="C41" s="150"/>
      <c r="D41" s="150"/>
      <c r="E41" s="129"/>
    </row>
    <row r="42" spans="1:13" ht="16.5" x14ac:dyDescent="0.3">
      <c r="A42" s="152" t="s">
        <v>338</v>
      </c>
      <c r="B42" s="129"/>
      <c r="C42" s="150"/>
      <c r="D42" s="150"/>
      <c r="E42" s="129"/>
    </row>
    <row r="43" spans="1:13" x14ac:dyDescent="0.25">
      <c r="A43" s="152"/>
      <c r="B43" s="129"/>
      <c r="C43" s="152"/>
      <c r="D43" s="152"/>
      <c r="E43" s="129"/>
      <c r="G43" s="129"/>
      <c r="H43" s="129"/>
    </row>
    <row r="44" spans="1:13" x14ac:dyDescent="0.25">
      <c r="A44" s="152" t="s">
        <v>339</v>
      </c>
      <c r="B44" s="129"/>
      <c r="C44" s="152"/>
      <c r="D44" s="152"/>
      <c r="E44" s="129"/>
      <c r="G44" s="129"/>
      <c r="H44" s="129"/>
    </row>
    <row r="45" spans="1:13" x14ac:dyDescent="0.25">
      <c r="A45" s="152"/>
      <c r="B45" s="129"/>
      <c r="C45" s="152"/>
      <c r="D45" s="152"/>
      <c r="E45" s="129"/>
      <c r="G45" s="129"/>
      <c r="H45" s="129"/>
    </row>
    <row r="46" spans="1:13" x14ac:dyDescent="0.25">
      <c r="A46" s="152" t="s">
        <v>268</v>
      </c>
      <c r="B46" s="152"/>
      <c r="C46" s="152"/>
      <c r="D46" s="152"/>
      <c r="E46" s="129"/>
      <c r="G46" s="129"/>
      <c r="H46" s="129"/>
    </row>
    <row r="47" spans="1:13" x14ac:dyDescent="0.25">
      <c r="G47" s="129"/>
      <c r="H47" s="129"/>
    </row>
    <row r="48" spans="1:13" ht="15.75" x14ac:dyDescent="0.25">
      <c r="A48" s="157" t="s">
        <v>316</v>
      </c>
      <c r="B48" s="155">
        <v>2786.74</v>
      </c>
      <c r="G48" s="129"/>
      <c r="H48" s="129"/>
    </row>
    <row r="49" spans="1:8" ht="15.75" x14ac:dyDescent="0.25">
      <c r="A49" s="156" t="s">
        <v>334</v>
      </c>
      <c r="B49">
        <v>1567</v>
      </c>
      <c r="G49" s="129"/>
      <c r="H49" s="129"/>
    </row>
    <row r="50" spans="1:8" ht="15.75" x14ac:dyDescent="0.25">
      <c r="A50" s="156" t="s">
        <v>340</v>
      </c>
      <c r="B50" s="127">
        <f>B49*6</f>
        <v>9402</v>
      </c>
      <c r="G50" s="129"/>
      <c r="H50" s="129"/>
    </row>
    <row r="51" spans="1:8" ht="15.75" x14ac:dyDescent="0.25">
      <c r="A51" s="158" t="s">
        <v>317</v>
      </c>
      <c r="B51" s="98">
        <f>B48*B49</f>
        <v>4366821.58</v>
      </c>
      <c r="G51" s="129"/>
      <c r="H51" s="129"/>
    </row>
    <row r="52" spans="1:8" ht="15.75" x14ac:dyDescent="0.25">
      <c r="A52" s="156" t="s">
        <v>317</v>
      </c>
      <c r="B52" s="173">
        <f>B48*B49+B50</f>
        <v>4376223.58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63AC-3B2E-4499-8033-16194DF1BA21}">
  <dimension ref="A1:H53"/>
  <sheetViews>
    <sheetView topLeftCell="A10" workbookViewId="0">
      <selection activeCell="M7" sqref="M7"/>
    </sheetView>
  </sheetViews>
  <sheetFormatPr defaultRowHeight="15" x14ac:dyDescent="0.25"/>
  <cols>
    <col min="1" max="1" width="37.140625" customWidth="1"/>
    <col min="2" max="2" width="25" bestFit="1" customWidth="1"/>
    <col min="3" max="3" width="43.85546875" bestFit="1" customWidth="1"/>
    <col min="4" max="8" width="10.42578125" bestFit="1" customWidth="1"/>
  </cols>
  <sheetData>
    <row r="1" spans="1:8" x14ac:dyDescent="0.25">
      <c r="A1" s="179" t="s">
        <v>341</v>
      </c>
      <c r="B1" s="180"/>
      <c r="C1" s="180"/>
      <c r="D1" s="167">
        <v>45473</v>
      </c>
      <c r="E1" s="167">
        <v>45565</v>
      </c>
      <c r="F1" s="167">
        <v>45657</v>
      </c>
      <c r="G1" s="167">
        <v>45747</v>
      </c>
      <c r="H1" s="168">
        <v>45838</v>
      </c>
    </row>
    <row r="2" spans="1:8" x14ac:dyDescent="0.25">
      <c r="A2" s="81" t="s">
        <v>274</v>
      </c>
      <c r="B2" s="81" t="s">
        <v>342</v>
      </c>
      <c r="C2" s="81" t="s">
        <v>275</v>
      </c>
      <c r="D2" s="169" t="s">
        <v>276</v>
      </c>
      <c r="E2" s="169" t="s">
        <v>276</v>
      </c>
      <c r="F2" s="169" t="s">
        <v>276</v>
      </c>
      <c r="G2" s="169" t="s">
        <v>276</v>
      </c>
      <c r="H2" s="169" t="s">
        <v>276</v>
      </c>
    </row>
    <row r="3" spans="1:8" x14ac:dyDescent="0.25">
      <c r="A3" s="175" t="s">
        <v>277</v>
      </c>
      <c r="B3" s="176" t="s">
        <v>278</v>
      </c>
      <c r="C3" s="178"/>
      <c r="D3" s="161">
        <v>57</v>
      </c>
      <c r="E3" s="161">
        <v>52</v>
      </c>
      <c r="F3" s="161">
        <v>48</v>
      </c>
      <c r="G3" s="161">
        <v>48</v>
      </c>
      <c r="H3" s="161">
        <v>46</v>
      </c>
    </row>
    <row r="4" spans="1:8" x14ac:dyDescent="0.25">
      <c r="A4" s="175" t="s">
        <v>277</v>
      </c>
      <c r="B4" s="175" t="s">
        <v>343</v>
      </c>
      <c r="C4" s="162" t="s">
        <v>278</v>
      </c>
      <c r="D4" s="161">
        <v>57</v>
      </c>
      <c r="E4" s="161">
        <v>52</v>
      </c>
      <c r="F4" s="161">
        <v>48</v>
      </c>
      <c r="G4" s="161">
        <v>48</v>
      </c>
      <c r="H4" s="161">
        <v>46</v>
      </c>
    </row>
    <row r="5" spans="1:8" x14ac:dyDescent="0.25">
      <c r="A5" s="175" t="s">
        <v>277</v>
      </c>
      <c r="B5" s="175" t="s">
        <v>343</v>
      </c>
      <c r="C5" s="153" t="s">
        <v>279</v>
      </c>
      <c r="D5" s="154">
        <v>57</v>
      </c>
      <c r="E5" s="154">
        <v>52</v>
      </c>
      <c r="F5" s="154">
        <v>48</v>
      </c>
      <c r="G5" s="154">
        <v>48</v>
      </c>
      <c r="H5" s="154">
        <v>46</v>
      </c>
    </row>
    <row r="6" spans="1:8" x14ac:dyDescent="0.25">
      <c r="A6" s="175" t="s">
        <v>280</v>
      </c>
      <c r="B6" s="176" t="s">
        <v>278</v>
      </c>
      <c r="C6" s="178"/>
      <c r="D6" s="163">
        <v>1361</v>
      </c>
      <c r="E6" s="163">
        <v>1342</v>
      </c>
      <c r="F6" s="163">
        <v>1324</v>
      </c>
      <c r="G6" s="163">
        <v>1315</v>
      </c>
      <c r="H6" s="165">
        <v>1294</v>
      </c>
    </row>
    <row r="7" spans="1:8" x14ac:dyDescent="0.25">
      <c r="A7" s="175" t="s">
        <v>280</v>
      </c>
      <c r="B7" s="175" t="s">
        <v>281</v>
      </c>
      <c r="C7" s="162" t="s">
        <v>278</v>
      </c>
      <c r="D7" s="161">
        <v>89</v>
      </c>
      <c r="E7" s="161">
        <v>88</v>
      </c>
      <c r="F7" s="161">
        <v>92</v>
      </c>
      <c r="G7" s="161">
        <v>94</v>
      </c>
      <c r="H7" s="161">
        <v>100</v>
      </c>
    </row>
    <row r="8" spans="1:8" x14ac:dyDescent="0.25">
      <c r="A8" s="175" t="s">
        <v>280</v>
      </c>
      <c r="B8" s="175" t="s">
        <v>281</v>
      </c>
      <c r="C8" s="153" t="s">
        <v>282</v>
      </c>
      <c r="D8" s="154">
        <v>14</v>
      </c>
      <c r="E8" s="154">
        <v>12</v>
      </c>
      <c r="F8" s="154">
        <v>13</v>
      </c>
      <c r="G8" s="154">
        <v>16</v>
      </c>
      <c r="H8" s="154">
        <v>14</v>
      </c>
    </row>
    <row r="9" spans="1:8" x14ac:dyDescent="0.25">
      <c r="A9" s="175" t="s">
        <v>280</v>
      </c>
      <c r="B9" s="175" t="s">
        <v>281</v>
      </c>
      <c r="C9" s="153" t="s">
        <v>283</v>
      </c>
      <c r="D9" s="154">
        <v>9</v>
      </c>
      <c r="E9" s="154">
        <v>10</v>
      </c>
      <c r="F9" s="154">
        <v>11</v>
      </c>
      <c r="G9" s="154">
        <v>10</v>
      </c>
      <c r="H9" s="154">
        <v>9</v>
      </c>
    </row>
    <row r="10" spans="1:8" x14ac:dyDescent="0.25">
      <c r="A10" s="175" t="s">
        <v>280</v>
      </c>
      <c r="B10" s="175" t="s">
        <v>281</v>
      </c>
      <c r="C10" s="153" t="s">
        <v>284</v>
      </c>
      <c r="D10" s="154">
        <v>3</v>
      </c>
      <c r="E10" s="154">
        <v>3</v>
      </c>
      <c r="F10" s="154">
        <v>3</v>
      </c>
      <c r="G10" s="154">
        <v>3</v>
      </c>
      <c r="H10" s="154">
        <v>4</v>
      </c>
    </row>
    <row r="11" spans="1:8" x14ac:dyDescent="0.25">
      <c r="A11" s="175" t="s">
        <v>280</v>
      </c>
      <c r="B11" s="175" t="s">
        <v>281</v>
      </c>
      <c r="C11" s="153" t="s">
        <v>344</v>
      </c>
      <c r="D11" s="154"/>
      <c r="E11" s="154"/>
      <c r="F11" s="154"/>
      <c r="G11" s="154">
        <v>37</v>
      </c>
      <c r="H11" s="154">
        <v>44</v>
      </c>
    </row>
    <row r="12" spans="1:8" x14ac:dyDescent="0.25">
      <c r="A12" s="175" t="s">
        <v>280</v>
      </c>
      <c r="B12" s="175" t="s">
        <v>281</v>
      </c>
      <c r="C12" s="153" t="s">
        <v>345</v>
      </c>
      <c r="D12" s="154"/>
      <c r="E12" s="154"/>
      <c r="F12" s="154">
        <v>1</v>
      </c>
      <c r="G12" s="154"/>
      <c r="H12" s="154"/>
    </row>
    <row r="13" spans="1:8" x14ac:dyDescent="0.25">
      <c r="A13" s="175" t="s">
        <v>280</v>
      </c>
      <c r="B13" s="175" t="s">
        <v>281</v>
      </c>
      <c r="C13" s="153" t="s">
        <v>285</v>
      </c>
      <c r="D13" s="154"/>
      <c r="E13" s="154">
        <v>1</v>
      </c>
      <c r="F13" s="154">
        <v>1</v>
      </c>
      <c r="G13" s="154"/>
      <c r="H13" s="154"/>
    </row>
    <row r="14" spans="1:8" x14ac:dyDescent="0.25">
      <c r="A14" s="175" t="s">
        <v>280</v>
      </c>
      <c r="B14" s="175" t="s">
        <v>281</v>
      </c>
      <c r="C14" s="153" t="s">
        <v>286</v>
      </c>
      <c r="D14" s="154">
        <v>2</v>
      </c>
      <c r="E14" s="154">
        <v>2</v>
      </c>
      <c r="F14" s="154">
        <v>1</v>
      </c>
      <c r="G14" s="154"/>
      <c r="H14" s="154"/>
    </row>
    <row r="15" spans="1:8" x14ac:dyDescent="0.25">
      <c r="A15" s="175" t="s">
        <v>280</v>
      </c>
      <c r="B15" s="175" t="s">
        <v>281</v>
      </c>
      <c r="C15" s="153" t="s">
        <v>287</v>
      </c>
      <c r="D15" s="154">
        <v>1</v>
      </c>
      <c r="E15" s="154">
        <v>1</v>
      </c>
      <c r="F15" s="154">
        <v>1</v>
      </c>
      <c r="G15" s="154"/>
      <c r="H15" s="154">
        <v>1</v>
      </c>
    </row>
    <row r="16" spans="1:8" x14ac:dyDescent="0.25">
      <c r="A16" s="175" t="s">
        <v>280</v>
      </c>
      <c r="B16" s="175" t="s">
        <v>281</v>
      </c>
      <c r="C16" s="153" t="s">
        <v>288</v>
      </c>
      <c r="D16" s="154">
        <v>41</v>
      </c>
      <c r="E16" s="154">
        <v>41</v>
      </c>
      <c r="F16" s="154">
        <v>42</v>
      </c>
      <c r="G16" s="154">
        <v>5</v>
      </c>
      <c r="H16" s="154">
        <v>6</v>
      </c>
    </row>
    <row r="17" spans="1:8" x14ac:dyDescent="0.25">
      <c r="A17" s="175" t="s">
        <v>280</v>
      </c>
      <c r="B17" s="175" t="s">
        <v>281</v>
      </c>
      <c r="C17" s="153" t="s">
        <v>289</v>
      </c>
      <c r="D17" s="154">
        <v>2</v>
      </c>
      <c r="E17" s="154"/>
      <c r="F17" s="154">
        <v>1</v>
      </c>
      <c r="G17" s="154">
        <v>2</v>
      </c>
      <c r="H17" s="154">
        <v>1</v>
      </c>
    </row>
    <row r="18" spans="1:8" x14ac:dyDescent="0.25">
      <c r="A18" s="175" t="s">
        <v>280</v>
      </c>
      <c r="B18" s="175" t="s">
        <v>281</v>
      </c>
      <c r="C18" s="153" t="s">
        <v>290</v>
      </c>
      <c r="D18" s="154">
        <v>7</v>
      </c>
      <c r="E18" s="154">
        <v>9</v>
      </c>
      <c r="F18" s="154">
        <v>9</v>
      </c>
      <c r="G18" s="154">
        <v>10</v>
      </c>
      <c r="H18" s="154">
        <v>11</v>
      </c>
    </row>
    <row r="19" spans="1:8" x14ac:dyDescent="0.25">
      <c r="A19" s="175" t="s">
        <v>280</v>
      </c>
      <c r="B19" s="175" t="s">
        <v>281</v>
      </c>
      <c r="C19" s="153" t="s">
        <v>291</v>
      </c>
      <c r="D19" s="154">
        <v>4</v>
      </c>
      <c r="E19" s="154">
        <v>5</v>
      </c>
      <c r="F19" s="154">
        <v>6</v>
      </c>
      <c r="G19" s="154">
        <v>7</v>
      </c>
      <c r="H19" s="154">
        <v>6</v>
      </c>
    </row>
    <row r="20" spans="1:8" x14ac:dyDescent="0.25">
      <c r="A20" s="175" t="s">
        <v>280</v>
      </c>
      <c r="B20" s="175" t="s">
        <v>281</v>
      </c>
      <c r="C20" s="153" t="s">
        <v>292</v>
      </c>
      <c r="D20" s="154">
        <v>1</v>
      </c>
      <c r="E20" s="154">
        <v>1</v>
      </c>
      <c r="F20" s="154">
        <v>2</v>
      </c>
      <c r="G20" s="154">
        <v>1</v>
      </c>
      <c r="H20" s="154">
        <v>1</v>
      </c>
    </row>
    <row r="21" spans="1:8" x14ac:dyDescent="0.25">
      <c r="A21" s="175" t="s">
        <v>280</v>
      </c>
      <c r="B21" s="175" t="s">
        <v>281</v>
      </c>
      <c r="C21" s="153" t="s">
        <v>293</v>
      </c>
      <c r="D21" s="154">
        <v>1</v>
      </c>
      <c r="E21" s="154">
        <v>1</v>
      </c>
      <c r="F21" s="154"/>
      <c r="G21" s="154"/>
      <c r="H21" s="154"/>
    </row>
    <row r="22" spans="1:8" x14ac:dyDescent="0.25">
      <c r="A22" s="175" t="s">
        <v>280</v>
      </c>
      <c r="B22" s="175" t="s">
        <v>281</v>
      </c>
      <c r="C22" s="153" t="s">
        <v>346</v>
      </c>
      <c r="D22" s="154"/>
      <c r="E22" s="154"/>
      <c r="F22" s="154">
        <v>1</v>
      </c>
      <c r="G22" s="154"/>
      <c r="H22" s="154"/>
    </row>
    <row r="23" spans="1:8" x14ac:dyDescent="0.25">
      <c r="A23" s="175" t="s">
        <v>280</v>
      </c>
      <c r="B23" s="175" t="s">
        <v>281</v>
      </c>
      <c r="C23" s="153" t="s">
        <v>347</v>
      </c>
      <c r="D23" s="154"/>
      <c r="E23" s="154"/>
      <c r="F23" s="154"/>
      <c r="G23" s="154">
        <v>1</v>
      </c>
      <c r="H23" s="154">
        <v>1</v>
      </c>
    </row>
    <row r="24" spans="1:8" x14ac:dyDescent="0.25">
      <c r="A24" s="175" t="s">
        <v>280</v>
      </c>
      <c r="B24" s="175" t="s">
        <v>281</v>
      </c>
      <c r="C24" s="153" t="s">
        <v>294</v>
      </c>
      <c r="D24" s="154"/>
      <c r="E24" s="154"/>
      <c r="F24" s="154"/>
      <c r="G24" s="154">
        <v>1</v>
      </c>
      <c r="H24" s="154"/>
    </row>
    <row r="25" spans="1:8" x14ac:dyDescent="0.25">
      <c r="A25" s="175" t="s">
        <v>280</v>
      </c>
      <c r="B25" s="175" t="s">
        <v>281</v>
      </c>
      <c r="C25" s="153" t="s">
        <v>296</v>
      </c>
      <c r="D25" s="154">
        <v>4</v>
      </c>
      <c r="E25" s="154">
        <v>2</v>
      </c>
      <c r="F25" s="154"/>
      <c r="G25" s="154">
        <v>1</v>
      </c>
      <c r="H25" s="154">
        <v>2</v>
      </c>
    </row>
    <row r="26" spans="1:8" x14ac:dyDescent="0.25">
      <c r="A26" s="175" t="s">
        <v>280</v>
      </c>
      <c r="B26" s="175" t="s">
        <v>300</v>
      </c>
      <c r="C26" s="162" t="s">
        <v>278</v>
      </c>
      <c r="D26" s="163">
        <v>1272</v>
      </c>
      <c r="E26" s="163">
        <v>1254</v>
      </c>
      <c r="F26" s="163">
        <v>1232</v>
      </c>
      <c r="G26" s="163">
        <v>1221</v>
      </c>
      <c r="H26" s="165">
        <v>1194</v>
      </c>
    </row>
    <row r="27" spans="1:8" x14ac:dyDescent="0.25">
      <c r="A27" s="175" t="s">
        <v>280</v>
      </c>
      <c r="B27" s="175" t="s">
        <v>300</v>
      </c>
      <c r="C27" s="153" t="s">
        <v>301</v>
      </c>
      <c r="D27" s="154">
        <v>2</v>
      </c>
      <c r="E27" s="154">
        <v>2</v>
      </c>
      <c r="F27" s="154">
        <v>2</v>
      </c>
      <c r="G27" s="154">
        <v>2</v>
      </c>
      <c r="H27" s="154">
        <v>2</v>
      </c>
    </row>
    <row r="28" spans="1:8" x14ac:dyDescent="0.25">
      <c r="A28" s="175" t="s">
        <v>280</v>
      </c>
      <c r="B28" s="175" t="s">
        <v>300</v>
      </c>
      <c r="C28" s="153" t="s">
        <v>302</v>
      </c>
      <c r="D28" s="154">
        <v>2</v>
      </c>
      <c r="E28" s="154">
        <v>2</v>
      </c>
      <c r="F28" s="154">
        <v>3</v>
      </c>
      <c r="G28" s="154">
        <v>2</v>
      </c>
      <c r="H28" s="154">
        <v>2</v>
      </c>
    </row>
    <row r="29" spans="1:8" x14ac:dyDescent="0.25">
      <c r="A29" s="175" t="s">
        <v>280</v>
      </c>
      <c r="B29" s="175" t="s">
        <v>300</v>
      </c>
      <c r="C29" s="153" t="s">
        <v>303</v>
      </c>
      <c r="D29" s="154">
        <v>3</v>
      </c>
      <c r="E29" s="154">
        <v>2</v>
      </c>
      <c r="F29" s="154">
        <v>2</v>
      </c>
      <c r="G29" s="154">
        <v>1</v>
      </c>
      <c r="H29" s="154">
        <v>1</v>
      </c>
    </row>
    <row r="30" spans="1:8" x14ac:dyDescent="0.25">
      <c r="A30" s="175" t="s">
        <v>280</v>
      </c>
      <c r="B30" s="175" t="s">
        <v>300</v>
      </c>
      <c r="C30" s="153" t="s">
        <v>348</v>
      </c>
      <c r="D30" s="154"/>
      <c r="E30" s="154">
        <v>1</v>
      </c>
      <c r="F30" s="154"/>
      <c r="G30" s="154"/>
      <c r="H30" s="154"/>
    </row>
    <row r="31" spans="1:8" x14ac:dyDescent="0.25">
      <c r="A31" s="175" t="s">
        <v>280</v>
      </c>
      <c r="B31" s="175" t="s">
        <v>300</v>
      </c>
      <c r="C31" s="153" t="s">
        <v>304</v>
      </c>
      <c r="D31" s="154">
        <v>1</v>
      </c>
      <c r="E31" s="154"/>
      <c r="F31" s="154"/>
      <c r="G31" s="154"/>
      <c r="H31" s="154"/>
    </row>
    <row r="32" spans="1:8" x14ac:dyDescent="0.25">
      <c r="A32" s="175" t="s">
        <v>280</v>
      </c>
      <c r="B32" s="175" t="s">
        <v>300</v>
      </c>
      <c r="C32" s="153" t="s">
        <v>290</v>
      </c>
      <c r="D32" s="154">
        <v>1</v>
      </c>
      <c r="E32" s="154">
        <v>1</v>
      </c>
      <c r="F32" s="154"/>
      <c r="G32" s="154"/>
      <c r="H32" s="154"/>
    </row>
    <row r="33" spans="1:8" x14ac:dyDescent="0.25">
      <c r="A33" s="175" t="s">
        <v>280</v>
      </c>
      <c r="B33" s="175" t="s">
        <v>300</v>
      </c>
      <c r="C33" s="153" t="s">
        <v>305</v>
      </c>
      <c r="D33" s="154"/>
      <c r="E33" s="154"/>
      <c r="F33" s="154"/>
      <c r="G33" s="154"/>
      <c r="H33" s="154">
        <v>1</v>
      </c>
    </row>
    <row r="34" spans="1:8" x14ac:dyDescent="0.25">
      <c r="A34" s="175" t="s">
        <v>280</v>
      </c>
      <c r="B34" s="175" t="s">
        <v>300</v>
      </c>
      <c r="C34" s="153" t="s">
        <v>306</v>
      </c>
      <c r="D34" s="154"/>
      <c r="E34" s="154">
        <v>2</v>
      </c>
      <c r="F34" s="154">
        <v>1</v>
      </c>
      <c r="G34" s="154">
        <v>2</v>
      </c>
      <c r="H34" s="154"/>
    </row>
    <row r="35" spans="1:8" x14ac:dyDescent="0.25">
      <c r="A35" s="175" t="s">
        <v>280</v>
      </c>
      <c r="B35" s="175" t="s">
        <v>300</v>
      </c>
      <c r="C35" s="153" t="s">
        <v>307</v>
      </c>
      <c r="D35" s="154">
        <v>1</v>
      </c>
      <c r="E35" s="154">
        <v>1</v>
      </c>
      <c r="F35" s="154">
        <v>2</v>
      </c>
      <c r="G35" s="154">
        <v>2</v>
      </c>
      <c r="H35" s="154">
        <v>2</v>
      </c>
    </row>
    <row r="36" spans="1:8" x14ac:dyDescent="0.25">
      <c r="A36" s="175" t="s">
        <v>280</v>
      </c>
      <c r="B36" s="175" t="s">
        <v>300</v>
      </c>
      <c r="C36" s="153" t="s">
        <v>308</v>
      </c>
      <c r="D36" s="154">
        <v>3</v>
      </c>
      <c r="E36" s="154">
        <v>4</v>
      </c>
      <c r="F36" s="154">
        <v>6</v>
      </c>
      <c r="G36" s="154">
        <v>5</v>
      </c>
      <c r="H36" s="154">
        <v>5</v>
      </c>
    </row>
    <row r="37" spans="1:8" x14ac:dyDescent="0.25">
      <c r="A37" s="175" t="s">
        <v>280</v>
      </c>
      <c r="B37" s="175" t="s">
        <v>300</v>
      </c>
      <c r="C37" s="153" t="s">
        <v>292</v>
      </c>
      <c r="D37" s="154">
        <v>102</v>
      </c>
      <c r="E37" s="154">
        <v>101</v>
      </c>
      <c r="F37" s="154">
        <v>102</v>
      </c>
      <c r="G37" s="154">
        <v>104</v>
      </c>
      <c r="H37" s="154">
        <v>104</v>
      </c>
    </row>
    <row r="38" spans="1:8" x14ac:dyDescent="0.25">
      <c r="A38" s="175" t="s">
        <v>280</v>
      </c>
      <c r="B38" s="175" t="s">
        <v>300</v>
      </c>
      <c r="C38" s="153" t="s">
        <v>309</v>
      </c>
      <c r="D38" s="154">
        <v>219</v>
      </c>
      <c r="E38" s="154">
        <v>212</v>
      </c>
      <c r="F38" s="154">
        <v>202</v>
      </c>
      <c r="G38" s="154">
        <v>191</v>
      </c>
      <c r="H38" s="154">
        <v>178</v>
      </c>
    </row>
    <row r="39" spans="1:8" x14ac:dyDescent="0.25">
      <c r="A39" s="175" t="s">
        <v>280</v>
      </c>
      <c r="B39" s="175" t="s">
        <v>300</v>
      </c>
      <c r="C39" s="153" t="s">
        <v>310</v>
      </c>
      <c r="D39" s="154">
        <v>795</v>
      </c>
      <c r="E39" s="154">
        <v>801</v>
      </c>
      <c r="F39" s="154">
        <v>794</v>
      </c>
      <c r="G39" s="154">
        <v>791</v>
      </c>
      <c r="H39" s="154">
        <v>776</v>
      </c>
    </row>
    <row r="40" spans="1:8" x14ac:dyDescent="0.25">
      <c r="A40" s="175" t="s">
        <v>280</v>
      </c>
      <c r="B40" s="175" t="s">
        <v>300</v>
      </c>
      <c r="C40" s="153" t="s">
        <v>311</v>
      </c>
      <c r="D40" s="154">
        <v>25</v>
      </c>
      <c r="E40" s="154">
        <v>22</v>
      </c>
      <c r="F40" s="154">
        <v>24</v>
      </c>
      <c r="G40" s="154">
        <v>20</v>
      </c>
      <c r="H40" s="154">
        <v>21</v>
      </c>
    </row>
    <row r="41" spans="1:8" x14ac:dyDescent="0.25">
      <c r="A41" s="175" t="s">
        <v>280</v>
      </c>
      <c r="B41" s="175" t="s">
        <v>300</v>
      </c>
      <c r="C41" s="153" t="s">
        <v>293</v>
      </c>
      <c r="D41" s="154">
        <v>91</v>
      </c>
      <c r="E41" s="154">
        <v>86</v>
      </c>
      <c r="F41" s="154">
        <v>81</v>
      </c>
      <c r="G41" s="154">
        <v>88</v>
      </c>
      <c r="H41" s="154">
        <v>90</v>
      </c>
    </row>
    <row r="42" spans="1:8" x14ac:dyDescent="0.25">
      <c r="A42" s="175" t="s">
        <v>280</v>
      </c>
      <c r="B42" s="175" t="s">
        <v>300</v>
      </c>
      <c r="C42" s="153" t="s">
        <v>295</v>
      </c>
      <c r="D42" s="154">
        <v>1</v>
      </c>
      <c r="E42" s="154">
        <v>2</v>
      </c>
      <c r="F42" s="154">
        <v>1</v>
      </c>
      <c r="G42" s="154">
        <v>1</v>
      </c>
      <c r="H42" s="154">
        <v>1</v>
      </c>
    </row>
    <row r="43" spans="1:8" x14ac:dyDescent="0.25">
      <c r="A43" s="175" t="s">
        <v>280</v>
      </c>
      <c r="B43" s="175" t="s">
        <v>300</v>
      </c>
      <c r="C43" s="153" t="s">
        <v>349</v>
      </c>
      <c r="D43" s="154"/>
      <c r="E43" s="154">
        <v>1</v>
      </c>
      <c r="F43" s="154">
        <v>1</v>
      </c>
      <c r="G43" s="154">
        <v>1</v>
      </c>
      <c r="H43" s="154">
        <v>1</v>
      </c>
    </row>
    <row r="44" spans="1:8" x14ac:dyDescent="0.25">
      <c r="A44" s="175" t="s">
        <v>280</v>
      </c>
      <c r="B44" s="175" t="s">
        <v>300</v>
      </c>
      <c r="C44" s="153" t="s">
        <v>296</v>
      </c>
      <c r="D44" s="154">
        <v>7</v>
      </c>
      <c r="E44" s="154">
        <v>4</v>
      </c>
      <c r="F44" s="154">
        <v>2</v>
      </c>
      <c r="G44" s="154">
        <v>3</v>
      </c>
      <c r="H44" s="154">
        <v>3</v>
      </c>
    </row>
    <row r="45" spans="1:8" x14ac:dyDescent="0.25">
      <c r="A45" s="175" t="s">
        <v>280</v>
      </c>
      <c r="B45" s="175" t="s">
        <v>300</v>
      </c>
      <c r="C45" s="153" t="s">
        <v>297</v>
      </c>
      <c r="D45" s="154">
        <v>2</v>
      </c>
      <c r="E45" s="154"/>
      <c r="F45" s="154"/>
      <c r="G45" s="154"/>
      <c r="H45" s="154">
        <v>1</v>
      </c>
    </row>
    <row r="46" spans="1:8" x14ac:dyDescent="0.25">
      <c r="A46" s="175" t="s">
        <v>280</v>
      </c>
      <c r="B46" s="175" t="s">
        <v>300</v>
      </c>
      <c r="C46" s="153" t="s">
        <v>312</v>
      </c>
      <c r="D46" s="154">
        <v>1</v>
      </c>
      <c r="E46" s="154"/>
      <c r="F46" s="154"/>
      <c r="G46" s="154"/>
      <c r="H46" s="154"/>
    </row>
    <row r="47" spans="1:8" x14ac:dyDescent="0.25">
      <c r="A47" s="175" t="s">
        <v>280</v>
      </c>
      <c r="B47" s="175" t="s">
        <v>300</v>
      </c>
      <c r="C47" s="153" t="s">
        <v>298</v>
      </c>
      <c r="D47" s="154">
        <v>12</v>
      </c>
      <c r="E47" s="154">
        <v>7</v>
      </c>
      <c r="F47" s="154">
        <v>5</v>
      </c>
      <c r="G47" s="154">
        <v>5</v>
      </c>
      <c r="H47" s="154">
        <v>4</v>
      </c>
    </row>
    <row r="48" spans="1:8" x14ac:dyDescent="0.25">
      <c r="A48" s="175" t="s">
        <v>280</v>
      </c>
      <c r="B48" s="175" t="s">
        <v>300</v>
      </c>
      <c r="C48" s="153" t="s">
        <v>299</v>
      </c>
      <c r="D48" s="154">
        <v>4</v>
      </c>
      <c r="E48" s="154">
        <v>3</v>
      </c>
      <c r="F48" s="154">
        <v>4</v>
      </c>
      <c r="G48" s="154">
        <v>3</v>
      </c>
      <c r="H48" s="154">
        <v>2</v>
      </c>
    </row>
    <row r="49" spans="1:8" x14ac:dyDescent="0.25">
      <c r="A49" s="175" t="s">
        <v>313</v>
      </c>
      <c r="B49" s="176" t="s">
        <v>278</v>
      </c>
      <c r="C49" s="178"/>
      <c r="D49" s="163">
        <v>210</v>
      </c>
      <c r="E49" s="163">
        <v>217</v>
      </c>
      <c r="F49" s="163">
        <v>226</v>
      </c>
      <c r="G49" s="163">
        <v>219</v>
      </c>
      <c r="H49" s="165">
        <v>227</v>
      </c>
    </row>
    <row r="50" spans="1:8" x14ac:dyDescent="0.25">
      <c r="A50" s="175" t="s">
        <v>313</v>
      </c>
      <c r="B50" s="175" t="s">
        <v>343</v>
      </c>
      <c r="C50" s="162" t="s">
        <v>278</v>
      </c>
      <c r="D50" s="163">
        <v>210</v>
      </c>
      <c r="E50" s="163">
        <v>217</v>
      </c>
      <c r="F50" s="163">
        <v>226</v>
      </c>
      <c r="G50" s="163">
        <v>219</v>
      </c>
      <c r="H50" s="165">
        <v>227</v>
      </c>
    </row>
    <row r="51" spans="1:8" x14ac:dyDescent="0.25">
      <c r="A51" s="175" t="s">
        <v>313</v>
      </c>
      <c r="B51" s="175" t="s">
        <v>343</v>
      </c>
      <c r="C51" s="153" t="s">
        <v>314</v>
      </c>
      <c r="D51" s="164">
        <v>137</v>
      </c>
      <c r="E51" s="164">
        <v>143</v>
      </c>
      <c r="F51" s="164">
        <v>149</v>
      </c>
      <c r="G51" s="164">
        <v>145</v>
      </c>
      <c r="H51" s="166">
        <v>150</v>
      </c>
    </row>
    <row r="52" spans="1:8" x14ac:dyDescent="0.25">
      <c r="A52" s="175" t="s">
        <v>313</v>
      </c>
      <c r="B52" s="175" t="s">
        <v>343</v>
      </c>
      <c r="C52" s="153" t="s">
        <v>315</v>
      </c>
      <c r="D52" s="164">
        <v>73</v>
      </c>
      <c r="E52" s="164">
        <v>74</v>
      </c>
      <c r="F52" s="164">
        <v>77</v>
      </c>
      <c r="G52" s="164">
        <v>74</v>
      </c>
      <c r="H52" s="166">
        <v>77</v>
      </c>
    </row>
    <row r="53" spans="1:8" x14ac:dyDescent="0.25">
      <c r="A53" s="176" t="s">
        <v>278</v>
      </c>
      <c r="B53" s="177"/>
      <c r="C53" s="178"/>
      <c r="D53" s="163">
        <v>1628</v>
      </c>
      <c r="E53" s="163">
        <v>1611</v>
      </c>
      <c r="F53" s="163">
        <v>1598</v>
      </c>
      <c r="G53" s="163">
        <v>1582</v>
      </c>
      <c r="H53" s="165">
        <v>1567</v>
      </c>
    </row>
  </sheetData>
  <mergeCells count="12">
    <mergeCell ref="B50:B52"/>
    <mergeCell ref="A53:C53"/>
    <mergeCell ref="A1:C1"/>
    <mergeCell ref="B3:C3"/>
    <mergeCell ref="A3:A5"/>
    <mergeCell ref="B4:B5"/>
    <mergeCell ref="A6:A48"/>
    <mergeCell ref="B6:C6"/>
    <mergeCell ref="B7:B25"/>
    <mergeCell ref="B26:B48"/>
    <mergeCell ref="A49:A52"/>
    <mergeCell ref="B49:C4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N40"/>
  <sheetViews>
    <sheetView showGridLines="0" topLeftCell="B3" workbookViewId="0">
      <selection activeCell="O16" sqref="O16"/>
    </sheetView>
  </sheetViews>
  <sheetFormatPr defaultRowHeight="15" x14ac:dyDescent="0.25"/>
  <cols>
    <col min="1" max="1" width="8.7109375" style="10" hidden="1" customWidth="1"/>
    <col min="2" max="2" width="35.7109375" customWidth="1"/>
    <col min="3" max="3" width="3.7109375" customWidth="1"/>
    <col min="4" max="4" width="15.7109375" style="5" customWidth="1"/>
    <col min="5" max="5" width="3.7109375" customWidth="1"/>
    <col min="6" max="6" width="15.7109375" style="5" customWidth="1"/>
    <col min="7" max="7" width="3.7109375" style="5" customWidth="1"/>
    <col min="8" max="8" width="15.7109375" style="5" customWidth="1"/>
    <col min="9" max="9" width="3.7109375" customWidth="1"/>
    <col min="10" max="10" width="15.5703125" style="5" customWidth="1"/>
    <col min="11" max="11" width="10" style="3" bestFit="1" customWidth="1"/>
    <col min="12" max="12" width="3.5703125" hidden="1" customWidth="1"/>
    <col min="13" max="13" width="39" hidden="1" customWidth="1"/>
  </cols>
  <sheetData>
    <row r="1" spans="1:13" ht="21" x14ac:dyDescent="0.35">
      <c r="A1" s="69"/>
      <c r="B1" s="69" t="str">
        <f>Indtægter!B1</f>
        <v>FOA Mariagerfjord</v>
      </c>
      <c r="C1" s="69"/>
      <c r="D1" s="69"/>
      <c r="E1" s="69"/>
      <c r="F1" s="69"/>
      <c r="G1" s="69"/>
      <c r="H1" s="69"/>
      <c r="I1" s="69"/>
      <c r="J1" s="69"/>
    </row>
    <row r="2" spans="1:13" ht="15.4" customHeight="1" x14ac:dyDescent="0.35">
      <c r="A2" s="9"/>
      <c r="B2" s="4"/>
      <c r="C2" s="4"/>
      <c r="D2" s="8"/>
      <c r="E2" s="4"/>
      <c r="F2" s="8"/>
      <c r="G2" s="74"/>
      <c r="H2" s="8"/>
      <c r="I2" s="4"/>
      <c r="J2" s="8"/>
    </row>
    <row r="3" spans="1:13" ht="15.4" customHeight="1" x14ac:dyDescent="0.25">
      <c r="G3" s="44"/>
    </row>
    <row r="4" spans="1:13" s="53" customFormat="1" x14ac:dyDescent="0.25">
      <c r="D4" s="50" t="str">
        <f>'Budget oversigt'!C2</f>
        <v>Regnskab 2022</v>
      </c>
      <c r="E4" s="50"/>
      <c r="F4" s="50" t="str">
        <f>'Budget oversigt'!E2</f>
        <v>Regnskab 2023</v>
      </c>
      <c r="G4" s="50"/>
      <c r="H4" s="50" t="str">
        <f>'Budget oversigt'!G2</f>
        <v>Regnskab 2024</v>
      </c>
      <c r="I4" s="51"/>
      <c r="J4" s="61" t="str">
        <f>'Budget oversigt'!I2</f>
        <v>Budget 2026</v>
      </c>
      <c r="K4" s="53" t="s">
        <v>65</v>
      </c>
    </row>
    <row r="5" spans="1:13" x14ac:dyDescent="0.25">
      <c r="D5" s="44"/>
      <c r="F5" s="44"/>
      <c r="G5" s="44"/>
      <c r="H5" s="44"/>
      <c r="J5" s="62"/>
    </row>
    <row r="6" spans="1:13" s="1" customFormat="1" x14ac:dyDescent="0.25">
      <c r="A6" s="11"/>
      <c r="B6" s="1" t="s">
        <v>77</v>
      </c>
      <c r="D6" s="70">
        <f>SUM(D8:D34)-D18</f>
        <v>4152711</v>
      </c>
      <c r="F6" s="70">
        <f>SUM(F8:F34)-F18</f>
        <v>3786504</v>
      </c>
      <c r="G6" s="48"/>
      <c r="H6" s="46">
        <f>SUM(H8:H34)-H18</f>
        <v>3926465</v>
      </c>
      <c r="J6" s="64">
        <f>SUM(J8:J34)-J18</f>
        <v>3233479.0630493285</v>
      </c>
      <c r="K6" s="2"/>
    </row>
    <row r="7" spans="1:13" s="1" customFormat="1" x14ac:dyDescent="0.25">
      <c r="A7" s="11"/>
      <c r="D7" s="71"/>
      <c r="F7" s="71"/>
      <c r="G7" s="48"/>
      <c r="H7" s="48"/>
      <c r="J7" s="65"/>
      <c r="K7" s="2"/>
    </row>
    <row r="8" spans="1:13" x14ac:dyDescent="0.25">
      <c r="A8" s="10">
        <v>20020</v>
      </c>
      <c r="B8" t="s">
        <v>209</v>
      </c>
      <c r="D8" s="44">
        <v>3344270</v>
      </c>
      <c r="F8" s="44">
        <v>2995625</v>
      </c>
      <c r="G8" s="44"/>
      <c r="H8" s="44">
        <v>3053622</v>
      </c>
      <c r="J8" s="62">
        <f>'Løn m.m. 2026'!B25</f>
        <v>2469273.9936240003</v>
      </c>
      <c r="K8" s="80"/>
      <c r="L8" s="55">
        <v>0.02</v>
      </c>
    </row>
    <row r="9" spans="1:13" x14ac:dyDescent="0.25">
      <c r="A9" s="10">
        <v>20045</v>
      </c>
      <c r="B9" t="s">
        <v>15</v>
      </c>
      <c r="D9" s="44">
        <v>420072</v>
      </c>
      <c r="F9" s="44">
        <v>389024</v>
      </c>
      <c r="G9" s="44"/>
      <c r="H9" s="44">
        <v>389389</v>
      </c>
      <c r="J9" s="62">
        <f>'Løn m.m. 2026'!B27</f>
        <v>311128.52319662401</v>
      </c>
    </row>
    <row r="10" spans="1:13" x14ac:dyDescent="0.25">
      <c r="A10" s="10">
        <v>20070</v>
      </c>
      <c r="B10" t="s">
        <v>219</v>
      </c>
      <c r="D10" s="44">
        <v>68585</v>
      </c>
      <c r="F10" s="44">
        <v>62101</v>
      </c>
      <c r="G10" s="44"/>
      <c r="H10" s="44">
        <v>56558</v>
      </c>
      <c r="J10" s="62">
        <v>63000</v>
      </c>
      <c r="M10" s="44"/>
    </row>
    <row r="11" spans="1:13" x14ac:dyDescent="0.25">
      <c r="A11" s="10">
        <v>20040</v>
      </c>
      <c r="B11" t="s">
        <v>43</v>
      </c>
      <c r="D11" s="44">
        <v>63818</v>
      </c>
      <c r="F11" s="44">
        <v>87111</v>
      </c>
      <c r="G11" s="44"/>
      <c r="H11" s="44">
        <v>146116</v>
      </c>
      <c r="J11" s="62">
        <f>'Løn m.m. 2026'!B26</f>
        <v>51459.670027124164</v>
      </c>
      <c r="K11" s="80"/>
      <c r="M11" t="s">
        <v>210</v>
      </c>
    </row>
    <row r="12" spans="1:13" x14ac:dyDescent="0.25">
      <c r="B12" t="s">
        <v>235</v>
      </c>
      <c r="D12" s="44">
        <v>-136683</v>
      </c>
      <c r="F12" s="44">
        <v>-38738</v>
      </c>
      <c r="G12" s="44"/>
      <c r="H12" s="44">
        <v>69216</v>
      </c>
      <c r="J12" s="62"/>
      <c r="K12" s="80"/>
    </row>
    <row r="13" spans="1:13" x14ac:dyDescent="0.25">
      <c r="A13" s="10">
        <v>20055</v>
      </c>
      <c r="B13" t="s">
        <v>16</v>
      </c>
      <c r="D13" s="44">
        <v>15653</v>
      </c>
      <c r="F13" s="44">
        <v>13633</v>
      </c>
      <c r="G13" s="44"/>
      <c r="H13" s="44">
        <v>13596</v>
      </c>
      <c r="J13" s="62">
        <f>'Løn m.m. 2026'!B28</f>
        <v>10224.9</v>
      </c>
    </row>
    <row r="14" spans="1:13" x14ac:dyDescent="0.25">
      <c r="B14" t="s">
        <v>228</v>
      </c>
      <c r="D14" s="44">
        <v>-10527</v>
      </c>
      <c r="F14" s="44">
        <v>-48312</v>
      </c>
      <c r="G14" s="44"/>
      <c r="H14" s="44">
        <v>-161320</v>
      </c>
      <c r="J14" s="62"/>
    </row>
    <row r="15" spans="1:13" x14ac:dyDescent="0.25">
      <c r="B15" t="s">
        <v>250</v>
      </c>
      <c r="D15" s="44"/>
      <c r="F15" s="44"/>
      <c r="G15" s="44"/>
      <c r="H15" s="44">
        <v>46716</v>
      </c>
      <c r="J15" s="62">
        <v>70000</v>
      </c>
    </row>
    <row r="16" spans="1:13" x14ac:dyDescent="0.25">
      <c r="F16" s="44"/>
    </row>
    <row r="17" spans="1:14" x14ac:dyDescent="0.25">
      <c r="D17" s="57"/>
      <c r="F17" s="57"/>
      <c r="G17" s="57"/>
      <c r="H17" s="57"/>
      <c r="J17" s="67"/>
    </row>
    <row r="18" spans="1:14" x14ac:dyDescent="0.25">
      <c r="B18" s="1" t="s">
        <v>200</v>
      </c>
      <c r="D18" s="64">
        <f>SUM(D19:D31)</f>
        <v>387523</v>
      </c>
      <c r="F18" s="46">
        <f>SUM(F19:F31)</f>
        <v>326060</v>
      </c>
      <c r="G18" s="57"/>
      <c r="H18" s="64">
        <f>SUM(H19:H31)</f>
        <v>312572</v>
      </c>
      <c r="J18" s="64">
        <f>SUM(J19:J31)</f>
        <v>258391.97620158017</v>
      </c>
    </row>
    <row r="19" spans="1:14" x14ac:dyDescent="0.25">
      <c r="B19" s="1"/>
      <c r="D19" s="57"/>
      <c r="F19" s="57"/>
      <c r="G19" s="57"/>
      <c r="H19" s="57"/>
      <c r="J19" s="67"/>
    </row>
    <row r="20" spans="1:14" x14ac:dyDescent="0.25">
      <c r="B20" s="1" t="s">
        <v>2</v>
      </c>
      <c r="D20" s="57"/>
      <c r="F20" s="57"/>
      <c r="G20" s="57"/>
      <c r="H20" s="57"/>
      <c r="J20" s="67"/>
    </row>
    <row r="21" spans="1:14" x14ac:dyDescent="0.25">
      <c r="B21" t="s">
        <v>229</v>
      </c>
      <c r="D21" s="76">
        <v>44840</v>
      </c>
      <c r="F21" s="76">
        <v>13410</v>
      </c>
      <c r="G21" s="76"/>
      <c r="H21" s="76">
        <v>0</v>
      </c>
      <c r="J21" s="126"/>
    </row>
    <row r="22" spans="1:14" x14ac:dyDescent="0.25">
      <c r="B22" t="s">
        <v>201</v>
      </c>
      <c r="D22" s="57">
        <v>4375</v>
      </c>
      <c r="F22" s="57">
        <v>2705</v>
      </c>
      <c r="G22" s="57"/>
      <c r="H22" s="57">
        <v>835</v>
      </c>
      <c r="J22" s="67">
        <v>2000</v>
      </c>
    </row>
    <row r="23" spans="1:14" x14ac:dyDescent="0.25">
      <c r="A23" s="3">
        <v>106009</v>
      </c>
      <c r="B23" t="s">
        <v>202</v>
      </c>
      <c r="D23" s="44">
        <v>2820</v>
      </c>
      <c r="F23" s="44">
        <v>8530</v>
      </c>
      <c r="G23"/>
      <c r="H23" s="44">
        <v>4640</v>
      </c>
      <c r="J23" s="62">
        <f>(D23+F23+H23)/3</f>
        <v>5330</v>
      </c>
      <c r="M23" s="54">
        <v>3.6799999999999999E-2</v>
      </c>
    </row>
    <row r="24" spans="1:14" x14ac:dyDescent="0.25">
      <c r="A24" s="10">
        <v>20080</v>
      </c>
      <c r="B24" t="s">
        <v>203</v>
      </c>
      <c r="D24" s="44">
        <v>45425</v>
      </c>
      <c r="F24" s="44">
        <v>34314</v>
      </c>
      <c r="G24" s="44"/>
      <c r="H24" s="44">
        <v>40369</v>
      </c>
      <c r="J24" s="62">
        <v>34000</v>
      </c>
    </row>
    <row r="25" spans="1:14" x14ac:dyDescent="0.25">
      <c r="B25" t="s">
        <v>220</v>
      </c>
      <c r="D25" s="44">
        <v>7251</v>
      </c>
      <c r="F25" s="44">
        <v>8593</v>
      </c>
      <c r="G25" s="44"/>
      <c r="H25" s="44">
        <v>7078</v>
      </c>
      <c r="J25" s="62">
        <f>(D25+F25+H25)/3</f>
        <v>7640.666666666667</v>
      </c>
    </row>
    <row r="26" spans="1:14" x14ac:dyDescent="0.25">
      <c r="A26" s="10">
        <v>20060</v>
      </c>
      <c r="B26" t="s">
        <v>17</v>
      </c>
      <c r="D26" s="44">
        <v>244180</v>
      </c>
      <c r="F26" s="44">
        <v>219610</v>
      </c>
      <c r="G26" s="44"/>
      <c r="H26" s="44">
        <v>219697</v>
      </c>
      <c r="J26" s="62">
        <f>'Løn m.m. 2026'!B29</f>
        <v>173799.30953491351</v>
      </c>
    </row>
    <row r="27" spans="1:14" x14ac:dyDescent="0.25">
      <c r="B27" t="s">
        <v>204</v>
      </c>
      <c r="D27" s="5">
        <v>-2395</v>
      </c>
      <c r="F27" s="44">
        <v>0</v>
      </c>
      <c r="H27" s="44"/>
      <c r="J27" s="62"/>
      <c r="N27" t="s">
        <v>251</v>
      </c>
    </row>
    <row r="28" spans="1:14" x14ac:dyDescent="0.25">
      <c r="A28" s="3">
        <v>130110</v>
      </c>
      <c r="B28" t="s">
        <v>20</v>
      </c>
      <c r="D28" s="44">
        <v>3110</v>
      </c>
      <c r="F28" s="44">
        <v>37100</v>
      </c>
      <c r="G28"/>
      <c r="H28" s="44">
        <v>19250</v>
      </c>
      <c r="J28" s="62">
        <v>15000</v>
      </c>
      <c r="M28" s="54">
        <v>1.4999999999999999E-2</v>
      </c>
    </row>
    <row r="29" spans="1:14" x14ac:dyDescent="0.25">
      <c r="B29" t="s">
        <v>230</v>
      </c>
      <c r="D29" s="5">
        <v>605</v>
      </c>
      <c r="F29" s="5">
        <v>838</v>
      </c>
      <c r="H29" s="44">
        <v>423</v>
      </c>
      <c r="J29" s="62">
        <f>(D29+F29+H29)/3</f>
        <v>622</v>
      </c>
    </row>
    <row r="30" spans="1:14" x14ac:dyDescent="0.25">
      <c r="B30" t="s">
        <v>2</v>
      </c>
      <c r="D30" s="5">
        <v>57312</v>
      </c>
      <c r="F30" s="5">
        <v>692</v>
      </c>
      <c r="H30" s="44">
        <v>19960</v>
      </c>
      <c r="J30" s="62">
        <v>20000</v>
      </c>
      <c r="N30" t="s">
        <v>253</v>
      </c>
    </row>
    <row r="31" spans="1:14" x14ac:dyDescent="0.25">
      <c r="A31" s="3">
        <v>106007</v>
      </c>
      <c r="B31" t="s">
        <v>248</v>
      </c>
      <c r="D31" s="62">
        <v>-20000</v>
      </c>
      <c r="F31" s="44">
        <v>268</v>
      </c>
      <c r="G31"/>
      <c r="H31" s="44">
        <v>320</v>
      </c>
      <c r="J31" s="62"/>
      <c r="N31" t="s">
        <v>319</v>
      </c>
    </row>
    <row r="32" spans="1:14" x14ac:dyDescent="0.25">
      <c r="B32" s="1"/>
      <c r="J32" s="47"/>
    </row>
    <row r="34" spans="1:10" x14ac:dyDescent="0.25">
      <c r="C34" s="3"/>
      <c r="D34" s="44"/>
      <c r="F34" s="44"/>
      <c r="G34" s="44"/>
      <c r="H34" s="44"/>
      <c r="J34" s="44"/>
    </row>
    <row r="38" spans="1:10" ht="27.75" customHeight="1" x14ac:dyDescent="0.25">
      <c r="A38" s="12"/>
      <c r="B38" s="49"/>
    </row>
    <row r="40" spans="1:10" x14ac:dyDescent="0.25">
      <c r="B40" s="1"/>
    </row>
  </sheetData>
  <pageMargins left="0.23622047244094491" right="0.23622047244094491" top="0.74803149606299213" bottom="0.74803149606299213" header="0.31496062992125984" footer="0.31496062992125984"/>
  <pageSetup paperSize="9" scale="80" firstPageNumber="4" orientation="landscape" useFirstPageNumber="1" r:id="rId1"/>
  <headerFooter>
    <oddFooter>&amp;R
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41"/>
  <sheetViews>
    <sheetView showGridLines="0" topLeftCell="B1" zoomScale="93" zoomScaleNormal="93" workbookViewId="0">
      <pane ySplit="3" topLeftCell="A11" activePane="bottomLeft" state="frozen"/>
      <selection activeCell="K12" sqref="K12"/>
      <selection pane="bottomLeft" activeCell="J7" sqref="J7"/>
    </sheetView>
  </sheetViews>
  <sheetFormatPr defaultRowHeight="15" x14ac:dyDescent="0.25"/>
  <cols>
    <col min="1" max="1" width="8.7109375" style="3" hidden="1" customWidth="1"/>
    <col min="2" max="2" width="35.7109375" customWidth="1"/>
    <col min="3" max="3" width="3.7109375" customWidth="1"/>
    <col min="4" max="4" width="15.7109375" style="44" customWidth="1"/>
    <col min="5" max="5" width="3.7109375" customWidth="1"/>
    <col min="6" max="6" width="15.7109375" style="44" customWidth="1"/>
    <col min="7" max="7" width="3.7109375" customWidth="1"/>
    <col min="8" max="8" width="15.7109375" style="44" customWidth="1"/>
    <col min="9" max="9" width="3.7109375" customWidth="1"/>
    <col min="10" max="10" width="15.7109375" style="5" customWidth="1"/>
    <col min="11" max="11" width="9.140625" style="3"/>
    <col min="12" max="12" width="23.42578125" customWidth="1"/>
    <col min="13" max="13" width="1" customWidth="1"/>
  </cols>
  <sheetData>
    <row r="1" spans="1:13" ht="21" x14ac:dyDescent="0.35">
      <c r="A1" s="69"/>
      <c r="B1" s="69" t="str">
        <f>Indtægter!B1</f>
        <v>FOA Mariagerfjord</v>
      </c>
      <c r="C1" s="69"/>
      <c r="D1" s="69"/>
      <c r="E1" s="69"/>
      <c r="F1" s="69"/>
      <c r="G1" s="69"/>
      <c r="H1" s="69"/>
      <c r="I1" s="69"/>
      <c r="J1" s="69"/>
    </row>
    <row r="2" spans="1:13" ht="15.4" customHeight="1" x14ac:dyDescent="0.25"/>
    <row r="3" spans="1:13" s="53" customFormat="1" x14ac:dyDescent="0.25">
      <c r="D3" s="50" t="str">
        <f>'Budget oversigt'!C2</f>
        <v>Regnskab 2022</v>
      </c>
      <c r="E3" s="50"/>
      <c r="F3" s="50" t="str">
        <f>'Budget oversigt'!E2</f>
        <v>Regnskab 2023</v>
      </c>
      <c r="G3" s="51"/>
      <c r="H3" s="50" t="str">
        <f>'Budget oversigt'!G2</f>
        <v>Regnskab 2024</v>
      </c>
      <c r="I3" s="51"/>
      <c r="J3" s="61" t="str">
        <f>'Budget oversigt'!I2</f>
        <v>Budget 2026</v>
      </c>
      <c r="K3" s="53" t="s">
        <v>65</v>
      </c>
    </row>
    <row r="4" spans="1:13" x14ac:dyDescent="0.25">
      <c r="J4" s="62"/>
    </row>
    <row r="5" spans="1:13" s="1" customFormat="1" ht="30" x14ac:dyDescent="0.25">
      <c r="A5" s="1" t="s">
        <v>18</v>
      </c>
      <c r="B5" s="49" t="s">
        <v>58</v>
      </c>
      <c r="D5" s="70" t="e">
        <f>D11+D17+#REF!+D34</f>
        <v>#REF!</v>
      </c>
      <c r="E5" s="48"/>
      <c r="F5" s="70" t="e">
        <f>F11+F17+#REF!+F34</f>
        <v>#REF!</v>
      </c>
      <c r="G5" s="48"/>
      <c r="H5" s="70" t="e">
        <f>H11+H17+#REF!+H34</f>
        <v>#REF!</v>
      </c>
      <c r="I5" s="48"/>
      <c r="J5" s="70" t="e">
        <f>J11+J17+#REF!+J34+#REF!</f>
        <v>#REF!</v>
      </c>
      <c r="K5" s="2"/>
    </row>
    <row r="6" spans="1:13" s="1" customFormat="1" x14ac:dyDescent="0.25">
      <c r="D6" s="71"/>
      <c r="E6" s="48"/>
      <c r="F6" s="71"/>
      <c r="G6" s="48"/>
      <c r="H6" s="48"/>
      <c r="I6" s="48"/>
      <c r="J6" s="65"/>
      <c r="K6" s="2"/>
    </row>
    <row r="7" spans="1:13" s="1" customFormat="1" x14ac:dyDescent="0.25">
      <c r="B7" s="1" t="s">
        <v>57</v>
      </c>
      <c r="D7" s="46">
        <f>D11+D17</f>
        <v>443874</v>
      </c>
      <c r="E7" s="48"/>
      <c r="F7" s="46">
        <f>F11+F17</f>
        <v>223243</v>
      </c>
      <c r="G7" s="48"/>
      <c r="H7" s="46">
        <f>H11+H17</f>
        <v>273418</v>
      </c>
      <c r="I7" s="76"/>
      <c r="J7" s="64">
        <f>J11+J17</f>
        <v>237000</v>
      </c>
      <c r="K7" s="2"/>
    </row>
    <row r="8" spans="1:13" s="1" customFormat="1" hidden="1" x14ac:dyDescent="0.25">
      <c r="D8" s="48"/>
      <c r="E8" s="48"/>
      <c r="F8" s="48"/>
      <c r="G8" s="48"/>
      <c r="H8" s="48"/>
      <c r="I8" s="48"/>
      <c r="J8" s="65"/>
      <c r="K8" s="2"/>
    </row>
    <row r="9" spans="1:13" s="1" customFormat="1" hidden="1" x14ac:dyDescent="0.25">
      <c r="B9" s="1" t="s">
        <v>61</v>
      </c>
      <c r="D9" s="48"/>
      <c r="E9" s="48"/>
      <c r="F9" s="48"/>
      <c r="G9" s="48"/>
      <c r="H9" s="48"/>
      <c r="I9" s="76"/>
      <c r="J9" s="65"/>
      <c r="K9" s="2"/>
    </row>
    <row r="10" spans="1:13" x14ac:dyDescent="0.25">
      <c r="J10" s="62"/>
      <c r="M10" s="55">
        <v>0.02</v>
      </c>
    </row>
    <row r="11" spans="1:13" x14ac:dyDescent="0.25">
      <c r="A11" s="2">
        <v>21001</v>
      </c>
      <c r="B11" s="81" t="s">
        <v>66</v>
      </c>
      <c r="D11" s="46">
        <f>SUM(D12:D15)</f>
        <v>0</v>
      </c>
      <c r="F11" s="46">
        <f>SUM(F12:F15)</f>
        <v>0</v>
      </c>
      <c r="H11" s="46">
        <f>SUM(H12:H15)</f>
        <v>5917</v>
      </c>
      <c r="J11" s="64">
        <f>SUM(J13:J15)</f>
        <v>6500</v>
      </c>
    </row>
    <row r="12" spans="1:13" x14ac:dyDescent="0.25">
      <c r="A12" s="2"/>
      <c r="B12" s="1" t="s">
        <v>67</v>
      </c>
      <c r="D12" s="48"/>
      <c r="F12" s="48"/>
      <c r="H12" s="48"/>
      <c r="J12" s="65"/>
    </row>
    <row r="13" spans="1:13" x14ac:dyDescent="0.25">
      <c r="B13" s="1"/>
      <c r="J13" s="62"/>
    </row>
    <row r="14" spans="1:13" x14ac:dyDescent="0.25">
      <c r="A14" s="3">
        <v>106001</v>
      </c>
      <c r="B14" t="s">
        <v>19</v>
      </c>
      <c r="H14" s="44">
        <v>2355</v>
      </c>
      <c r="J14" s="62">
        <v>3000</v>
      </c>
    </row>
    <row r="15" spans="1:13" x14ac:dyDescent="0.25">
      <c r="B15" t="s">
        <v>213</v>
      </c>
      <c r="H15" s="44">
        <v>3562</v>
      </c>
      <c r="J15" s="62">
        <v>3500</v>
      </c>
    </row>
    <row r="16" spans="1:13" x14ac:dyDescent="0.25">
      <c r="J16" s="62"/>
    </row>
    <row r="17" spans="1:15" x14ac:dyDescent="0.25">
      <c r="B17" s="1" t="s">
        <v>79</v>
      </c>
      <c r="D17" s="46">
        <f>SUM(D19:D26)</f>
        <v>443874</v>
      </c>
      <c r="E17" s="48"/>
      <c r="F17" s="46">
        <f>SUM(F19:F26)</f>
        <v>223243</v>
      </c>
      <c r="G17" s="48"/>
      <c r="H17" s="46">
        <f>SUM(H19:H26)</f>
        <v>267501</v>
      </c>
      <c r="I17" s="48"/>
      <c r="J17" s="64">
        <f>SUM(J19:J28)</f>
        <v>230500</v>
      </c>
    </row>
    <row r="18" spans="1:15" x14ac:dyDescent="0.25">
      <c r="B18" s="1" t="s">
        <v>81</v>
      </c>
      <c r="D18" s="48"/>
      <c r="E18" s="48"/>
      <c r="F18" s="48"/>
      <c r="G18" s="48"/>
      <c r="H18" s="48"/>
      <c r="I18" s="48"/>
      <c r="J18" s="65"/>
    </row>
    <row r="19" spans="1:15" x14ac:dyDescent="0.25">
      <c r="A19" s="3">
        <v>21005</v>
      </c>
      <c r="B19" t="s">
        <v>80</v>
      </c>
      <c r="D19" s="44">
        <v>45401</v>
      </c>
      <c r="F19" s="44">
        <v>0</v>
      </c>
      <c r="H19" s="44">
        <v>2716</v>
      </c>
      <c r="J19" s="62">
        <v>3000</v>
      </c>
    </row>
    <row r="20" spans="1:15" x14ac:dyDescent="0.25">
      <c r="A20" s="3">
        <v>21010</v>
      </c>
      <c r="B20" t="s">
        <v>330</v>
      </c>
      <c r="D20" s="44">
        <v>3139</v>
      </c>
      <c r="F20" s="44">
        <v>48450</v>
      </c>
      <c r="H20" s="44">
        <v>2284</v>
      </c>
      <c r="J20" s="62">
        <v>2500</v>
      </c>
      <c r="O20" s="44"/>
    </row>
    <row r="21" spans="1:15" x14ac:dyDescent="0.25">
      <c r="B21" t="s">
        <v>270</v>
      </c>
      <c r="D21" s="44">
        <v>140772</v>
      </c>
      <c r="F21" s="44">
        <v>26395</v>
      </c>
      <c r="H21" s="44">
        <v>63213</v>
      </c>
      <c r="J21" s="62">
        <v>50000</v>
      </c>
      <c r="O21" s="44"/>
    </row>
    <row r="22" spans="1:15" x14ac:dyDescent="0.25">
      <c r="A22" s="3">
        <v>21050</v>
      </c>
      <c r="B22" t="s">
        <v>236</v>
      </c>
      <c r="D22" s="44">
        <v>175668</v>
      </c>
      <c r="F22" s="44">
        <v>147387</v>
      </c>
      <c r="H22" s="44">
        <v>53057</v>
      </c>
      <c r="J22" s="62">
        <v>90000</v>
      </c>
    </row>
    <row r="23" spans="1:15" x14ac:dyDescent="0.25">
      <c r="B23" t="s">
        <v>237</v>
      </c>
      <c r="D23" s="44">
        <v>48702</v>
      </c>
      <c r="F23" s="44">
        <v>0</v>
      </c>
      <c r="H23" s="44">
        <v>17993</v>
      </c>
      <c r="J23" s="62">
        <v>20000</v>
      </c>
    </row>
    <row r="24" spans="1:15" x14ac:dyDescent="0.25">
      <c r="A24" s="3">
        <v>21060</v>
      </c>
      <c r="B24" t="s">
        <v>326</v>
      </c>
      <c r="D24" s="44">
        <v>22692</v>
      </c>
      <c r="F24" s="44">
        <v>1011</v>
      </c>
      <c r="H24" s="44">
        <v>126448</v>
      </c>
      <c r="J24" s="62">
        <v>0</v>
      </c>
      <c r="L24" t="s">
        <v>351</v>
      </c>
      <c r="N24" s="44"/>
    </row>
    <row r="25" spans="1:15" x14ac:dyDescent="0.25">
      <c r="B25" t="s">
        <v>327</v>
      </c>
      <c r="D25" s="44">
        <v>0</v>
      </c>
      <c r="F25" s="44">
        <v>0</v>
      </c>
      <c r="H25" s="44">
        <v>1790</v>
      </c>
      <c r="J25" s="62">
        <v>0</v>
      </c>
      <c r="N25" s="44"/>
    </row>
    <row r="26" spans="1:15" x14ac:dyDescent="0.25">
      <c r="A26" s="3">
        <v>21085</v>
      </c>
      <c r="B26" t="s">
        <v>22</v>
      </c>
      <c r="D26" s="44">
        <v>7500</v>
      </c>
      <c r="J26" s="62"/>
    </row>
    <row r="27" spans="1:15" x14ac:dyDescent="0.25">
      <c r="B27" t="s">
        <v>249</v>
      </c>
      <c r="H27" s="44">
        <v>26000</v>
      </c>
      <c r="J27" s="62"/>
      <c r="L27" t="s">
        <v>333</v>
      </c>
    </row>
    <row r="28" spans="1:15" x14ac:dyDescent="0.25">
      <c r="B28" t="s">
        <v>357</v>
      </c>
      <c r="J28" s="62">
        <v>65000</v>
      </c>
    </row>
    <row r="29" spans="1:15" x14ac:dyDescent="0.25">
      <c r="J29" s="62"/>
    </row>
    <row r="30" spans="1:15" x14ac:dyDescent="0.25">
      <c r="J30" s="62"/>
    </row>
    <row r="31" spans="1:15" x14ac:dyDescent="0.25">
      <c r="J31" s="62"/>
    </row>
    <row r="32" spans="1:15" x14ac:dyDescent="0.25">
      <c r="B32" s="1"/>
      <c r="J32" s="62"/>
    </row>
    <row r="33" spans="2:12" x14ac:dyDescent="0.25">
      <c r="B33" s="1"/>
      <c r="J33" s="62"/>
    </row>
    <row r="34" spans="2:12" x14ac:dyDescent="0.25">
      <c r="B34" s="1" t="s">
        <v>54</v>
      </c>
      <c r="D34" s="46">
        <f>SUM(D35:D39)</f>
        <v>-210970</v>
      </c>
      <c r="E34" s="48"/>
      <c r="F34" s="46">
        <f>SUM(F35:F39)</f>
        <v>0</v>
      </c>
      <c r="H34" s="46">
        <f>SUM(H35:H39)</f>
        <v>0</v>
      </c>
      <c r="J34" s="64">
        <f>SUM(J35:J39)</f>
        <v>0</v>
      </c>
      <c r="L34" s="57"/>
    </row>
    <row r="35" spans="2:12" x14ac:dyDescent="0.25">
      <c r="B35" t="s">
        <v>55</v>
      </c>
      <c r="D35" s="44">
        <v>-120120</v>
      </c>
      <c r="F35" s="44">
        <v>534968</v>
      </c>
      <c r="H35" s="44">
        <v>581109</v>
      </c>
      <c r="J35" s="62">
        <v>601793</v>
      </c>
      <c r="L35" t="s">
        <v>335</v>
      </c>
    </row>
    <row r="36" spans="2:12" x14ac:dyDescent="0.25">
      <c r="B36" s="1" t="s">
        <v>193</v>
      </c>
      <c r="F36" s="44">
        <v>190892</v>
      </c>
      <c r="H36" s="44">
        <v>-26039</v>
      </c>
      <c r="J36" s="62"/>
    </row>
    <row r="37" spans="2:12" x14ac:dyDescent="0.25">
      <c r="B37" t="s">
        <v>56</v>
      </c>
      <c r="D37" s="44">
        <v>0</v>
      </c>
      <c r="F37" s="44">
        <v>-751899</v>
      </c>
      <c r="H37" s="44">
        <v>-681107</v>
      </c>
      <c r="J37" s="62">
        <v>-601793</v>
      </c>
    </row>
    <row r="38" spans="2:12" x14ac:dyDescent="0.25">
      <c r="B38" s="1" t="s">
        <v>217</v>
      </c>
      <c r="J38" s="62"/>
    </row>
    <row r="39" spans="2:12" x14ac:dyDescent="0.25">
      <c r="B39" s="1" t="s">
        <v>193</v>
      </c>
      <c r="D39" s="44">
        <v>-90850</v>
      </c>
      <c r="F39" s="159">
        <v>26039</v>
      </c>
      <c r="H39" s="44">
        <v>126037</v>
      </c>
      <c r="J39" s="62"/>
      <c r="L39" t="s">
        <v>332</v>
      </c>
    </row>
    <row r="40" spans="2:12" x14ac:dyDescent="0.25">
      <c r="B40" s="1"/>
    </row>
    <row r="41" spans="2:12" x14ac:dyDescent="0.25">
      <c r="B41" s="1"/>
    </row>
  </sheetData>
  <pageMargins left="0.23622047244094491" right="0.23622047244094491" top="0.74803149606299213" bottom="0.74803149606299213" header="0.31496062992125984" footer="0.31496062992125984"/>
  <pageSetup paperSize="9" firstPageNumber="6" orientation="landscape" useFirstPageNumber="1" r:id="rId1"/>
  <headerFooter>
    <oddFooter>&amp;R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M40"/>
  <sheetViews>
    <sheetView showGridLines="0" topLeftCell="B3" workbookViewId="0">
      <selection activeCell="L23" sqref="L23"/>
    </sheetView>
  </sheetViews>
  <sheetFormatPr defaultRowHeight="15" x14ac:dyDescent="0.25"/>
  <cols>
    <col min="1" max="1" width="8.7109375" style="3" hidden="1" customWidth="1"/>
    <col min="2" max="2" width="35.7109375" customWidth="1"/>
    <col min="3" max="3" width="3.7109375" customWidth="1"/>
    <col min="4" max="4" width="15.7109375" style="44" customWidth="1"/>
    <col min="5" max="5" width="3.7109375" customWidth="1"/>
    <col min="6" max="6" width="15.7109375" style="44" customWidth="1"/>
    <col min="7" max="7" width="3.7109375" customWidth="1"/>
    <col min="8" max="8" width="15.7109375" style="44" customWidth="1"/>
    <col min="9" max="9" width="3.7109375" customWidth="1"/>
    <col min="10" max="10" width="15.7109375" style="5" customWidth="1"/>
    <col min="11" max="11" width="6.28515625" style="44" customWidth="1"/>
    <col min="12" max="12" width="6.28515625" style="3" customWidth="1"/>
    <col min="13" max="13" width="3.28515625" hidden="1" customWidth="1"/>
    <col min="14" max="14" width="16.7109375" customWidth="1"/>
  </cols>
  <sheetData>
    <row r="1" spans="1:13" ht="21" x14ac:dyDescent="0.35">
      <c r="A1" s="69"/>
      <c r="B1" s="69" t="str">
        <f>Indtægter!B1</f>
        <v>FOA Mariagerfjord</v>
      </c>
      <c r="C1" s="69"/>
      <c r="D1" s="69"/>
      <c r="E1" s="69"/>
      <c r="F1" s="69"/>
      <c r="G1" s="69"/>
      <c r="H1" s="69"/>
      <c r="I1" s="69"/>
      <c r="J1" s="69"/>
      <c r="K1" s="69"/>
    </row>
    <row r="2" spans="1:13" ht="15.4" customHeight="1" x14ac:dyDescent="0.25">
      <c r="M2" s="55">
        <v>0.02</v>
      </c>
    </row>
    <row r="3" spans="1:13" s="53" customFormat="1" x14ac:dyDescent="0.25">
      <c r="D3" s="50" t="str">
        <f>'Budget oversigt'!C2</f>
        <v>Regnskab 2022</v>
      </c>
      <c r="E3" s="50"/>
      <c r="F3" s="50" t="str">
        <f>'Budget oversigt'!E2</f>
        <v>Regnskab 2023</v>
      </c>
      <c r="G3" s="51"/>
      <c r="H3" s="50" t="str">
        <f>'Budget oversigt'!G2</f>
        <v>Regnskab 2024</v>
      </c>
      <c r="I3" s="51"/>
      <c r="J3" s="61" t="str">
        <f>'Budget oversigt'!I2</f>
        <v>Budget 2026</v>
      </c>
      <c r="K3" s="50"/>
      <c r="L3" s="53" t="s">
        <v>65</v>
      </c>
    </row>
    <row r="4" spans="1:13" x14ac:dyDescent="0.25">
      <c r="J4" s="62"/>
    </row>
    <row r="5" spans="1:13" s="1" customFormat="1" ht="30" x14ac:dyDescent="0.25">
      <c r="A5" s="2"/>
      <c r="B5" s="49" t="s">
        <v>60</v>
      </c>
      <c r="D5" s="70">
        <f>D7+D36</f>
        <v>241387</v>
      </c>
      <c r="E5" s="48"/>
      <c r="F5" s="70">
        <f>F7+F36</f>
        <v>334095</v>
      </c>
      <c r="G5" s="48"/>
      <c r="H5" s="46">
        <f>H7+H36</f>
        <v>368599</v>
      </c>
      <c r="I5" s="48"/>
      <c r="J5" s="64">
        <f>J7+J36</f>
        <v>618992.16666666663</v>
      </c>
      <c r="K5" s="48"/>
      <c r="L5" s="2"/>
    </row>
    <row r="6" spans="1:13" s="1" customFormat="1" x14ac:dyDescent="0.25">
      <c r="A6" s="2"/>
      <c r="D6" s="71"/>
      <c r="E6" s="48"/>
      <c r="F6" s="71"/>
      <c r="G6" s="48"/>
      <c r="H6" s="48"/>
      <c r="I6" s="48"/>
      <c r="J6" s="65"/>
      <c r="K6" s="48"/>
      <c r="L6" s="2"/>
    </row>
    <row r="7" spans="1:13" s="1" customFormat="1" x14ac:dyDescent="0.25">
      <c r="A7" s="2"/>
      <c r="B7" s="1" t="s">
        <v>59</v>
      </c>
      <c r="D7" s="70">
        <f>SUM(D9:D33)</f>
        <v>241387</v>
      </c>
      <c r="E7" s="48"/>
      <c r="F7" s="70">
        <f>SUM(F9:F33)</f>
        <v>334095</v>
      </c>
      <c r="G7" s="48"/>
      <c r="H7" s="46">
        <f>SUM(H9:H33)</f>
        <v>368599</v>
      </c>
      <c r="I7" s="48"/>
      <c r="J7" s="64">
        <f>SUM(J9:J33)</f>
        <v>618992.16666666663</v>
      </c>
      <c r="K7" s="48"/>
      <c r="L7" s="2"/>
    </row>
    <row r="8" spans="1:13" x14ac:dyDescent="0.25">
      <c r="J8" s="62"/>
    </row>
    <row r="9" spans="1:13" x14ac:dyDescent="0.25">
      <c r="B9" t="s">
        <v>231</v>
      </c>
      <c r="D9" s="44">
        <v>-585</v>
      </c>
      <c r="F9" s="44">
        <v>-145</v>
      </c>
      <c r="J9" s="62">
        <v>0</v>
      </c>
      <c r="L9" t="s">
        <v>352</v>
      </c>
    </row>
    <row r="10" spans="1:13" x14ac:dyDescent="0.25">
      <c r="B10" t="s">
        <v>221</v>
      </c>
      <c r="D10" s="44">
        <v>29015</v>
      </c>
      <c r="F10" s="44">
        <v>22263</v>
      </c>
      <c r="H10" s="44">
        <v>33106</v>
      </c>
      <c r="J10" s="62">
        <f>(D10+F10+H10)/3</f>
        <v>28128</v>
      </c>
      <c r="L10" t="s">
        <v>320</v>
      </c>
    </row>
    <row r="11" spans="1:13" x14ac:dyDescent="0.25">
      <c r="B11" t="s">
        <v>328</v>
      </c>
      <c r="H11" s="44">
        <v>17465</v>
      </c>
      <c r="J11" s="62"/>
      <c r="L11"/>
    </row>
    <row r="12" spans="1:13" x14ac:dyDescent="0.25">
      <c r="A12" s="3">
        <v>32150</v>
      </c>
      <c r="B12" t="s">
        <v>74</v>
      </c>
      <c r="D12" s="44">
        <v>18835</v>
      </c>
      <c r="F12" s="44">
        <v>5536</v>
      </c>
      <c r="J12" s="62"/>
      <c r="L12"/>
    </row>
    <row r="13" spans="1:13" x14ac:dyDescent="0.25">
      <c r="B13" t="s">
        <v>222</v>
      </c>
      <c r="D13" s="44">
        <v>8503</v>
      </c>
      <c r="F13" s="44">
        <v>36577</v>
      </c>
      <c r="H13" s="44">
        <v>13196</v>
      </c>
      <c r="J13" s="62">
        <f>(D13+F13+H13)/3</f>
        <v>19425.333333333332</v>
      </c>
      <c r="K13" s="117"/>
      <c r="L13"/>
    </row>
    <row r="14" spans="1:13" x14ac:dyDescent="0.25">
      <c r="A14" s="3">
        <v>32295</v>
      </c>
      <c r="B14" t="s">
        <v>52</v>
      </c>
      <c r="D14" s="44">
        <v>12229</v>
      </c>
      <c r="F14" s="44">
        <v>0</v>
      </c>
      <c r="H14" s="44">
        <v>20021</v>
      </c>
      <c r="J14" s="62">
        <f>(D14+F14+H14)/3</f>
        <v>10750</v>
      </c>
      <c r="L14"/>
    </row>
    <row r="15" spans="1:13" x14ac:dyDescent="0.25">
      <c r="B15" t="s">
        <v>223</v>
      </c>
      <c r="D15" s="44">
        <v>300</v>
      </c>
      <c r="F15" s="44">
        <v>51019</v>
      </c>
      <c r="H15" s="44">
        <v>37836</v>
      </c>
      <c r="J15" s="62">
        <v>38000</v>
      </c>
      <c r="L15"/>
    </row>
    <row r="16" spans="1:13" x14ac:dyDescent="0.25">
      <c r="A16" s="3">
        <v>32140</v>
      </c>
      <c r="B16" t="s">
        <v>73</v>
      </c>
      <c r="D16" s="44">
        <v>7760</v>
      </c>
      <c r="F16" s="44">
        <v>11719</v>
      </c>
      <c r="H16" s="44">
        <v>3675</v>
      </c>
      <c r="J16" s="62">
        <f>(D16+F16+H16)/3</f>
        <v>7718</v>
      </c>
      <c r="L16"/>
    </row>
    <row r="17" spans="1:12" x14ac:dyDescent="0.25">
      <c r="A17" s="3">
        <v>32070</v>
      </c>
      <c r="B17" t="s">
        <v>205</v>
      </c>
      <c r="D17" s="44">
        <v>1183</v>
      </c>
      <c r="F17" s="44">
        <v>60</v>
      </c>
      <c r="H17" s="44">
        <v>107</v>
      </c>
      <c r="J17" s="62">
        <v>100</v>
      </c>
      <c r="L17"/>
    </row>
    <row r="18" spans="1:12" x14ac:dyDescent="0.25">
      <c r="A18" s="3">
        <v>32240</v>
      </c>
      <c r="B18" t="s">
        <v>24</v>
      </c>
      <c r="D18" s="44">
        <v>617</v>
      </c>
      <c r="F18" s="44">
        <v>4740</v>
      </c>
      <c r="H18" s="44">
        <v>4696</v>
      </c>
      <c r="J18" s="62">
        <f>(F18+H18+D18)/2</f>
        <v>5026.5</v>
      </c>
    </row>
    <row r="19" spans="1:12" x14ac:dyDescent="0.25">
      <c r="B19" t="s">
        <v>224</v>
      </c>
      <c r="D19" s="44">
        <v>2550</v>
      </c>
      <c r="F19" s="44">
        <v>720</v>
      </c>
      <c r="H19" s="44">
        <v>4478</v>
      </c>
      <c r="J19" s="62">
        <v>9500</v>
      </c>
    </row>
    <row r="20" spans="1:12" x14ac:dyDescent="0.25">
      <c r="A20" s="3">
        <v>32010</v>
      </c>
      <c r="B20" t="s">
        <v>72</v>
      </c>
      <c r="D20" s="44">
        <v>26259</v>
      </c>
      <c r="F20" s="44">
        <v>7523</v>
      </c>
      <c r="H20" s="44">
        <v>18150</v>
      </c>
      <c r="J20" s="62">
        <v>18000</v>
      </c>
      <c r="K20" s="117"/>
      <c r="L20"/>
    </row>
    <row r="21" spans="1:12" x14ac:dyDescent="0.25">
      <c r="A21" s="3">
        <v>32120</v>
      </c>
      <c r="B21" t="s">
        <v>23</v>
      </c>
      <c r="D21" s="44">
        <v>7656</v>
      </c>
      <c r="F21" s="44">
        <v>5907</v>
      </c>
      <c r="H21" s="44">
        <v>9661</v>
      </c>
      <c r="J21" s="62">
        <f>(D21+F21+H21)/3</f>
        <v>7741.333333333333</v>
      </c>
      <c r="L21"/>
    </row>
    <row r="22" spans="1:12" x14ac:dyDescent="0.25">
      <c r="B22" t="s">
        <v>358</v>
      </c>
      <c r="J22" s="62">
        <v>237303</v>
      </c>
      <c r="L22" t="s">
        <v>359</v>
      </c>
    </row>
    <row r="23" spans="1:12" x14ac:dyDescent="0.25">
      <c r="B23" t="s">
        <v>329</v>
      </c>
      <c r="D23" s="44">
        <v>8114</v>
      </c>
      <c r="F23" s="44">
        <v>18607</v>
      </c>
      <c r="H23" s="44">
        <v>17062</v>
      </c>
      <c r="J23" s="62">
        <v>0</v>
      </c>
      <c r="L23"/>
    </row>
    <row r="24" spans="1:12" x14ac:dyDescent="0.25">
      <c r="B24" t="s">
        <v>136</v>
      </c>
      <c r="D24" s="44">
        <v>-855</v>
      </c>
      <c r="F24" s="44">
        <v>5195</v>
      </c>
      <c r="H24" s="44">
        <v>31357</v>
      </c>
      <c r="J24" s="62">
        <v>31300</v>
      </c>
      <c r="K24" s="80"/>
      <c r="L24"/>
    </row>
    <row r="25" spans="1:12" x14ac:dyDescent="0.25">
      <c r="A25" s="3">
        <v>32040</v>
      </c>
      <c r="B25" t="s">
        <v>225</v>
      </c>
      <c r="D25" s="44">
        <v>119454</v>
      </c>
      <c r="F25" s="44">
        <v>181071</v>
      </c>
      <c r="H25" s="44">
        <v>109594</v>
      </c>
      <c r="J25" s="62">
        <v>60000</v>
      </c>
      <c r="L25" t="s">
        <v>254</v>
      </c>
    </row>
    <row r="26" spans="1:12" x14ac:dyDescent="0.25">
      <c r="B26" t="s">
        <v>234</v>
      </c>
      <c r="D26" s="44">
        <v>3878</v>
      </c>
      <c r="F26" s="44">
        <v>9088</v>
      </c>
      <c r="H26" s="44">
        <v>-1331</v>
      </c>
      <c r="J26" s="62"/>
      <c r="L26"/>
    </row>
    <row r="27" spans="1:12" x14ac:dyDescent="0.25">
      <c r="A27" s="3">
        <v>32050</v>
      </c>
      <c r="B27" t="s">
        <v>238</v>
      </c>
      <c r="D27" s="44">
        <v>17251</v>
      </c>
      <c r="F27" s="44">
        <v>16495</v>
      </c>
      <c r="H27" s="44">
        <v>30513</v>
      </c>
      <c r="J27" s="62">
        <v>25000</v>
      </c>
      <c r="L27"/>
    </row>
    <row r="28" spans="1:12" x14ac:dyDescent="0.25">
      <c r="B28" t="s">
        <v>239</v>
      </c>
      <c r="D28" s="44">
        <v>20000</v>
      </c>
      <c r="F28" s="44">
        <v>0</v>
      </c>
      <c r="J28" s="62">
        <v>100000</v>
      </c>
      <c r="L28"/>
    </row>
    <row r="29" spans="1:12" x14ac:dyDescent="0.25">
      <c r="B29" t="s">
        <v>240</v>
      </c>
      <c r="D29" s="44">
        <v>-492</v>
      </c>
      <c r="F29" s="44">
        <v>0</v>
      </c>
      <c r="J29" s="62">
        <v>0</v>
      </c>
      <c r="L29"/>
    </row>
    <row r="30" spans="1:12" x14ac:dyDescent="0.25">
      <c r="A30" s="3">
        <v>32130</v>
      </c>
      <c r="B30" t="s">
        <v>214</v>
      </c>
      <c r="D30" s="44">
        <v>19435</v>
      </c>
      <c r="F30" s="44">
        <v>19740</v>
      </c>
      <c r="H30" s="44">
        <v>20457</v>
      </c>
      <c r="J30" s="62">
        <v>21000</v>
      </c>
      <c r="L30" t="s">
        <v>271</v>
      </c>
    </row>
    <row r="31" spans="1:12" x14ac:dyDescent="0.25">
      <c r="B31" t="s">
        <v>216</v>
      </c>
      <c r="D31" s="5">
        <v>0</v>
      </c>
      <c r="F31" s="5">
        <v>-42</v>
      </c>
      <c r="H31" s="5">
        <v>-1444</v>
      </c>
      <c r="J31" s="62"/>
      <c r="K31" s="3"/>
      <c r="L31"/>
    </row>
    <row r="32" spans="1:12" x14ac:dyDescent="0.25">
      <c r="A32" s="3">
        <v>32490</v>
      </c>
      <c r="B32" t="s">
        <v>163</v>
      </c>
      <c r="D32" s="44">
        <v>-59720</v>
      </c>
      <c r="F32" s="44">
        <v>-61978</v>
      </c>
      <c r="J32" s="62">
        <v>0</v>
      </c>
    </row>
    <row r="33" spans="2:12" x14ac:dyDescent="0.25">
      <c r="J33" s="62"/>
    </row>
    <row r="34" spans="2:12" x14ac:dyDescent="0.25">
      <c r="J34" s="44"/>
    </row>
    <row r="35" spans="2:12" x14ac:dyDescent="0.25">
      <c r="J35" s="44"/>
    </row>
    <row r="36" spans="2:12" x14ac:dyDescent="0.25">
      <c r="B36" s="1"/>
      <c r="D36" s="48"/>
      <c r="E36" s="76"/>
      <c r="F36" s="48"/>
      <c r="G36" s="76"/>
      <c r="H36" s="48"/>
      <c r="I36" s="76"/>
      <c r="J36" s="48"/>
      <c r="K36" s="48"/>
      <c r="L36"/>
    </row>
    <row r="37" spans="2:12" x14ac:dyDescent="0.25">
      <c r="J37" s="44"/>
    </row>
    <row r="38" spans="2:12" x14ac:dyDescent="0.25">
      <c r="J38" s="44"/>
    </row>
    <row r="39" spans="2:12" x14ac:dyDescent="0.25">
      <c r="J39" s="44"/>
    </row>
    <row r="40" spans="2:12" x14ac:dyDescent="0.25">
      <c r="J40" s="44"/>
    </row>
  </sheetData>
  <pageMargins left="0.23622047244094491" right="0.23622047244094491" top="0.74803149606299213" bottom="0.74803149606299213" header="0.31496062992125984" footer="0.31496062992125984"/>
  <pageSetup paperSize="9" firstPageNumber="10" orientation="landscape" useFirstPageNumber="1" r:id="rId1"/>
  <headerFooter>
    <oddFooter>&amp;R
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O29"/>
  <sheetViews>
    <sheetView showGridLines="0" topLeftCell="B3" workbookViewId="0">
      <selection activeCell="N26" sqref="N26"/>
    </sheetView>
  </sheetViews>
  <sheetFormatPr defaultRowHeight="15" x14ac:dyDescent="0.25"/>
  <cols>
    <col min="1" max="1" width="8.7109375" style="3" hidden="1" customWidth="1"/>
    <col min="2" max="2" width="40.28515625" customWidth="1"/>
    <col min="3" max="3" width="15.7109375" style="5" customWidth="1"/>
    <col min="4" max="4" width="3.42578125" customWidth="1"/>
    <col min="5" max="5" width="15.7109375" style="5" customWidth="1"/>
    <col min="6" max="6" width="3.7109375" customWidth="1"/>
    <col min="7" max="7" width="15.7109375" style="5" customWidth="1"/>
    <col min="8" max="8" width="3.7109375" customWidth="1"/>
    <col min="9" max="9" width="15.5703125" style="5" customWidth="1"/>
    <col min="10" max="10" width="3.5703125" hidden="1" customWidth="1"/>
    <col min="11" max="11" width="9.140625" style="3"/>
  </cols>
  <sheetData>
    <row r="1" spans="1:15" ht="21" x14ac:dyDescent="0.35">
      <c r="A1" s="69"/>
      <c r="B1" s="69" t="str">
        <f>Indtægter!B1</f>
        <v>FOA Mariagerfjord</v>
      </c>
      <c r="C1" s="69"/>
      <c r="D1" s="69"/>
      <c r="E1" s="69"/>
      <c r="F1" s="69"/>
      <c r="G1" s="69"/>
      <c r="H1" s="69"/>
      <c r="I1" s="69"/>
    </row>
    <row r="2" spans="1:15" ht="15.4" customHeight="1" x14ac:dyDescent="0.35">
      <c r="A2" s="4"/>
      <c r="B2" s="4"/>
      <c r="C2" s="8"/>
      <c r="D2" s="4"/>
      <c r="E2" s="8"/>
      <c r="F2" s="4"/>
      <c r="G2" s="8"/>
      <c r="H2" s="4"/>
      <c r="I2" s="8"/>
      <c r="J2" s="55">
        <v>0.03</v>
      </c>
    </row>
    <row r="3" spans="1:15" ht="15.4" customHeight="1" x14ac:dyDescent="0.25">
      <c r="J3" s="55">
        <v>1.95E-2</v>
      </c>
    </row>
    <row r="4" spans="1:15" s="53" customFormat="1" x14ac:dyDescent="0.25">
      <c r="C4" s="50" t="str">
        <f>'Budget oversigt'!C2</f>
        <v>Regnskab 2022</v>
      </c>
      <c r="D4" s="50"/>
      <c r="E4" s="50" t="str">
        <f>'Budget oversigt'!E2</f>
        <v>Regnskab 2023</v>
      </c>
      <c r="F4" s="51"/>
      <c r="G4" s="50" t="str">
        <f>'Budget oversigt'!G2</f>
        <v>Regnskab 2024</v>
      </c>
      <c r="H4" s="51"/>
      <c r="I4" s="61" t="str">
        <f>'Budget oversigt'!I2</f>
        <v>Budget 2026</v>
      </c>
      <c r="K4" s="53" t="s">
        <v>65</v>
      </c>
    </row>
    <row r="5" spans="1:15" x14ac:dyDescent="0.25">
      <c r="C5" s="44"/>
      <c r="E5" s="44"/>
      <c r="G5" s="44"/>
      <c r="I5" s="62"/>
    </row>
    <row r="6" spans="1:15" x14ac:dyDescent="0.25">
      <c r="B6" s="1" t="s">
        <v>25</v>
      </c>
      <c r="C6" s="46">
        <f>SUM(C7:C19)</f>
        <v>320237</v>
      </c>
      <c r="D6" s="44"/>
      <c r="E6" s="46">
        <f>SUM(E7:E19)</f>
        <v>249595</v>
      </c>
      <c r="F6" s="48"/>
      <c r="G6" s="46">
        <f>SUM(G7:G19)</f>
        <v>405336</v>
      </c>
      <c r="H6" s="48"/>
      <c r="I6" s="64">
        <f>SUM(I7:I19)</f>
        <v>360250.33333333331</v>
      </c>
    </row>
    <row r="7" spans="1:15" x14ac:dyDescent="0.25">
      <c r="C7" s="44"/>
      <c r="E7" s="44"/>
      <c r="G7" s="44"/>
      <c r="I7" s="62"/>
    </row>
    <row r="8" spans="1:15" x14ac:dyDescent="0.25">
      <c r="A8" s="3">
        <v>37020</v>
      </c>
      <c r="B8" t="s">
        <v>241</v>
      </c>
      <c r="C8" s="44">
        <v>-113832</v>
      </c>
      <c r="E8" s="44">
        <v>0</v>
      </c>
      <c r="G8" s="44"/>
      <c r="I8" s="62">
        <v>0</v>
      </c>
      <c r="K8" s="115"/>
    </row>
    <row r="9" spans="1:15" x14ac:dyDescent="0.25">
      <c r="A9" s="3">
        <v>37070</v>
      </c>
      <c r="B9" t="s">
        <v>28</v>
      </c>
      <c r="C9" s="44">
        <v>77495</v>
      </c>
      <c r="E9" s="44">
        <v>44178</v>
      </c>
      <c r="G9" s="44">
        <v>41160</v>
      </c>
      <c r="I9" s="62">
        <v>42000</v>
      </c>
      <c r="K9" s="115"/>
      <c r="L9" s="85"/>
      <c r="M9" s="85"/>
      <c r="N9" s="85"/>
    </row>
    <row r="10" spans="1:15" x14ac:dyDescent="0.25">
      <c r="A10" s="3">
        <v>37290</v>
      </c>
      <c r="B10" t="s">
        <v>50</v>
      </c>
      <c r="C10" s="44">
        <v>48613</v>
      </c>
      <c r="E10" s="44">
        <v>51800</v>
      </c>
      <c r="G10" s="44">
        <v>58832</v>
      </c>
      <c r="I10" s="62">
        <f>(C10+E10+G10)/3</f>
        <v>53081.666666666664</v>
      </c>
      <c r="L10" s="120"/>
      <c r="M10" s="85"/>
      <c r="N10" s="85"/>
    </row>
    <row r="11" spans="1:15" x14ac:dyDescent="0.25">
      <c r="B11" t="s">
        <v>206</v>
      </c>
      <c r="C11" s="44">
        <v>190149</v>
      </c>
      <c r="E11" s="44">
        <v>195657</v>
      </c>
      <c r="G11" s="44">
        <v>178080</v>
      </c>
      <c r="I11" s="62">
        <v>126600</v>
      </c>
      <c r="M11" s="85"/>
      <c r="N11" s="85"/>
    </row>
    <row r="12" spans="1:15" x14ac:dyDescent="0.25">
      <c r="A12" s="3">
        <v>37130</v>
      </c>
      <c r="B12" t="s">
        <v>27</v>
      </c>
      <c r="C12" s="44">
        <v>9720</v>
      </c>
      <c r="E12" s="44">
        <v>10320</v>
      </c>
      <c r="G12" s="44">
        <v>10901</v>
      </c>
      <c r="I12" s="62">
        <v>11000</v>
      </c>
      <c r="K12" s="114"/>
      <c r="L12" s="85"/>
      <c r="M12" s="85"/>
      <c r="N12" s="85"/>
    </row>
    <row r="13" spans="1:15" ht="15.75" x14ac:dyDescent="0.25">
      <c r="A13" s="3">
        <v>37060</v>
      </c>
      <c r="B13" t="s">
        <v>84</v>
      </c>
      <c r="C13" s="44">
        <v>40869</v>
      </c>
      <c r="E13" s="44">
        <v>5444</v>
      </c>
      <c r="G13" s="44">
        <v>17367</v>
      </c>
      <c r="I13" s="62">
        <f>(C13+E13+G13)/3</f>
        <v>21226.666666666668</v>
      </c>
      <c r="L13" s="170" t="s">
        <v>353</v>
      </c>
      <c r="M13" s="171"/>
      <c r="N13" s="160"/>
      <c r="O13" s="172"/>
    </row>
    <row r="14" spans="1:15" ht="15.75" x14ac:dyDescent="0.25">
      <c r="A14" s="3">
        <v>37040</v>
      </c>
      <c r="B14" t="s">
        <v>211</v>
      </c>
      <c r="C14" s="44">
        <v>-8255</v>
      </c>
      <c r="E14" s="44">
        <v>11328</v>
      </c>
      <c r="G14" s="44">
        <v>24532</v>
      </c>
      <c r="I14" s="62">
        <v>25000</v>
      </c>
      <c r="L14" s="90"/>
    </row>
    <row r="15" spans="1:15" x14ac:dyDescent="0.25">
      <c r="A15" s="3">
        <v>37030</v>
      </c>
      <c r="B15" t="s">
        <v>212</v>
      </c>
      <c r="C15" s="44">
        <v>14642</v>
      </c>
      <c r="E15" s="44">
        <v>14670</v>
      </c>
      <c r="G15" s="44">
        <v>14405</v>
      </c>
      <c r="I15" s="62">
        <v>14600</v>
      </c>
      <c r="L15" s="114"/>
      <c r="M15" s="123"/>
    </row>
    <row r="16" spans="1:15" ht="15.75" x14ac:dyDescent="0.25">
      <c r="B16" t="s">
        <v>207</v>
      </c>
      <c r="C16" s="44">
        <v>623</v>
      </c>
      <c r="E16" s="44">
        <v>6533</v>
      </c>
      <c r="G16" s="44">
        <v>28904</v>
      </c>
      <c r="I16" s="62">
        <v>7000</v>
      </c>
      <c r="L16" s="90" t="s">
        <v>354</v>
      </c>
      <c r="M16" s="85"/>
      <c r="N16" s="85"/>
      <c r="O16" s="85"/>
    </row>
    <row r="17" spans="1:15" ht="15.75" x14ac:dyDescent="0.25">
      <c r="B17" t="s">
        <v>226</v>
      </c>
      <c r="C17" s="44">
        <v>91250</v>
      </c>
      <c r="E17" s="44">
        <v>56821</v>
      </c>
      <c r="G17" s="44">
        <v>31155</v>
      </c>
      <c r="I17" s="62">
        <f>(C17+E17+G17)/3</f>
        <v>59742</v>
      </c>
      <c r="L17" s="90" t="s">
        <v>355</v>
      </c>
      <c r="M17" s="85"/>
      <c r="N17" s="85"/>
      <c r="O17" s="85"/>
    </row>
    <row r="18" spans="1:15" x14ac:dyDescent="0.25">
      <c r="A18" s="3">
        <v>37390</v>
      </c>
      <c r="B18" t="s">
        <v>208</v>
      </c>
      <c r="C18" s="44">
        <v>-31037</v>
      </c>
      <c r="E18" s="44">
        <v>-147156</v>
      </c>
      <c r="G18" s="44">
        <v>0</v>
      </c>
      <c r="I18" s="62">
        <v>0</v>
      </c>
      <c r="L18" s="3"/>
    </row>
    <row r="19" spans="1:15" x14ac:dyDescent="0.25">
      <c r="C19" s="44"/>
      <c r="E19" s="44"/>
      <c r="G19" s="44"/>
      <c r="I19" s="62"/>
    </row>
    <row r="20" spans="1:15" x14ac:dyDescent="0.25">
      <c r="C20" s="44"/>
      <c r="E20" s="44"/>
      <c r="G20" s="44"/>
      <c r="I20" s="62"/>
    </row>
    <row r="21" spans="1:15" x14ac:dyDescent="0.25">
      <c r="C21" s="44"/>
      <c r="E21" s="44"/>
      <c r="G21" s="44"/>
      <c r="I21" s="62"/>
    </row>
    <row r="22" spans="1:15" ht="15.75" x14ac:dyDescent="0.25">
      <c r="A22" s="3">
        <v>38020</v>
      </c>
      <c r="B22" t="s">
        <v>76</v>
      </c>
      <c r="C22" s="46">
        <v>66597</v>
      </c>
      <c r="E22" s="46">
        <v>66597</v>
      </c>
      <c r="G22" s="46">
        <v>66597</v>
      </c>
      <c r="I22" s="64">
        <v>66597</v>
      </c>
      <c r="K22" s="90"/>
      <c r="M22" s="113"/>
    </row>
    <row r="23" spans="1:15" x14ac:dyDescent="0.25">
      <c r="C23" s="44"/>
      <c r="E23" s="44"/>
      <c r="G23" s="44"/>
      <c r="I23" s="62"/>
      <c r="K23" s="79"/>
      <c r="L23" s="79"/>
    </row>
    <row r="24" spans="1:15" x14ac:dyDescent="0.25">
      <c r="A24" s="3">
        <v>43010</v>
      </c>
      <c r="B24" t="s">
        <v>12</v>
      </c>
      <c r="C24" s="46">
        <v>0</v>
      </c>
      <c r="E24" s="46">
        <v>0</v>
      </c>
      <c r="G24" s="46"/>
      <c r="I24" s="64">
        <v>0</v>
      </c>
      <c r="K24" s="79"/>
      <c r="L24" s="79"/>
    </row>
    <row r="25" spans="1:15" x14ac:dyDescent="0.25">
      <c r="K25" s="79"/>
      <c r="L25" s="79"/>
    </row>
    <row r="26" spans="1:15" x14ac:dyDescent="0.25">
      <c r="K26" s="79"/>
      <c r="L26" s="79"/>
    </row>
    <row r="27" spans="1:15" x14ac:dyDescent="0.25">
      <c r="K27" s="79"/>
      <c r="L27" s="79"/>
    </row>
    <row r="28" spans="1:15" x14ac:dyDescent="0.25">
      <c r="K28" s="79"/>
      <c r="L28" s="79"/>
    </row>
    <row r="29" spans="1:15" x14ac:dyDescent="0.25">
      <c r="K29" s="79"/>
      <c r="L29" s="79"/>
    </row>
  </sheetData>
  <pageMargins left="0.23622047244094491" right="0.23622047244094491" top="0.74803149606299213" bottom="0.74803149606299213" header="0.31496062992125984" footer="0.31496062992125984"/>
  <pageSetup paperSize="9" firstPageNumber="13" orientation="landscape" useFirstPageNumber="1" r:id="rId1"/>
  <headerFooter>
    <oddFooter>&amp;R
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/>
  <dimension ref="A1:L15"/>
  <sheetViews>
    <sheetView showGridLines="0" tabSelected="1" topLeftCell="B1" workbookViewId="0">
      <selection activeCell="K10" sqref="K10"/>
    </sheetView>
  </sheetViews>
  <sheetFormatPr defaultRowHeight="15" x14ac:dyDescent="0.25"/>
  <cols>
    <col min="1" max="1" width="8.7109375" style="3" hidden="1" customWidth="1"/>
    <col min="2" max="2" width="35.7109375" customWidth="1"/>
    <col min="3" max="3" width="3.7109375" customWidth="1"/>
    <col min="4" max="4" width="15.7109375" style="44" customWidth="1"/>
    <col min="5" max="5" width="3.7109375" customWidth="1"/>
    <col min="6" max="6" width="15.7109375" style="44" customWidth="1"/>
    <col min="7" max="7" width="3.7109375" customWidth="1"/>
    <col min="8" max="8" width="15.7109375" style="44" customWidth="1"/>
    <col min="9" max="9" width="3.7109375" customWidth="1"/>
    <col min="10" max="10" width="15.7109375" style="5" customWidth="1"/>
  </cols>
  <sheetData>
    <row r="1" spans="1:12" ht="21" x14ac:dyDescent="0.35">
      <c r="A1" s="174" t="str">
        <f>Indtægter!B1</f>
        <v>FOA Mariagerfjord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2" ht="15.4" customHeight="1" x14ac:dyDescent="0.35">
      <c r="A2" s="4"/>
      <c r="B2" s="4"/>
      <c r="C2" s="4"/>
      <c r="D2" s="74"/>
      <c r="E2" s="4"/>
      <c r="F2" s="74"/>
      <c r="G2" s="4"/>
      <c r="H2" s="74"/>
      <c r="I2" s="4"/>
      <c r="J2" s="8"/>
    </row>
    <row r="3" spans="1:12" ht="15.4" customHeight="1" x14ac:dyDescent="0.25"/>
    <row r="4" spans="1:12" s="53" customFormat="1" x14ac:dyDescent="0.25">
      <c r="D4" s="75" t="str">
        <f>'Budget oversigt'!C2</f>
        <v>Regnskab 2022</v>
      </c>
      <c r="E4" s="50"/>
      <c r="F4" s="75" t="str">
        <f>'Budget oversigt'!E2</f>
        <v>Regnskab 2023</v>
      </c>
      <c r="G4" s="50"/>
      <c r="H4" s="50" t="str">
        <f>'Budget oversigt'!G2</f>
        <v>Regnskab 2024</v>
      </c>
      <c r="I4" s="50"/>
      <c r="J4" s="61" t="str">
        <f>Indtægter!J4</f>
        <v>Budget 2026</v>
      </c>
    </row>
    <row r="5" spans="1:12" x14ac:dyDescent="0.25">
      <c r="J5" s="62"/>
    </row>
    <row r="6" spans="1:12" s="1" customFormat="1" x14ac:dyDescent="0.25">
      <c r="A6" s="2"/>
      <c r="B6" s="1" t="s">
        <v>29</v>
      </c>
      <c r="D6" s="70">
        <f>SUM(D7:D15)</f>
        <v>60310</v>
      </c>
      <c r="E6" s="47"/>
      <c r="F6" s="70">
        <f>SUM(F7:F15)</f>
        <v>182221</v>
      </c>
      <c r="G6" s="48"/>
      <c r="H6" s="46">
        <f>SUM(H7:H15)</f>
        <v>212220</v>
      </c>
      <c r="I6" s="48"/>
      <c r="J6" s="64">
        <f>SUM(J7:J15)</f>
        <v>193250</v>
      </c>
    </row>
    <row r="7" spans="1:12" x14ac:dyDescent="0.25">
      <c r="J7" s="62"/>
    </row>
    <row r="8" spans="1:12" ht="15.75" x14ac:dyDescent="0.25">
      <c r="A8" s="3">
        <v>40010</v>
      </c>
      <c r="B8" t="s">
        <v>30</v>
      </c>
      <c r="J8" s="62"/>
      <c r="L8" s="90"/>
    </row>
    <row r="9" spans="1:12" ht="15.75" x14ac:dyDescent="0.25">
      <c r="B9" t="s">
        <v>242</v>
      </c>
      <c r="D9" s="44">
        <v>-3250</v>
      </c>
      <c r="F9" s="44">
        <v>-1300</v>
      </c>
      <c r="H9" s="44">
        <v>-10</v>
      </c>
      <c r="J9" s="62">
        <v>3250</v>
      </c>
      <c r="L9" s="90" t="s">
        <v>356</v>
      </c>
    </row>
    <row r="10" spans="1:12" ht="15.75" x14ac:dyDescent="0.25">
      <c r="J10" s="62"/>
      <c r="L10" s="90"/>
    </row>
    <row r="11" spans="1:12" x14ac:dyDescent="0.25">
      <c r="B11" t="s">
        <v>232</v>
      </c>
      <c r="D11" s="44">
        <v>61646</v>
      </c>
      <c r="F11" s="44">
        <v>172267</v>
      </c>
      <c r="H11" s="44">
        <v>205414</v>
      </c>
      <c r="J11" s="62">
        <v>190000</v>
      </c>
      <c r="L11" s="86"/>
    </row>
    <row r="12" spans="1:12" x14ac:dyDescent="0.25">
      <c r="A12" s="3">
        <v>40020</v>
      </c>
      <c r="B12" t="s">
        <v>233</v>
      </c>
      <c r="D12" s="44">
        <v>1914</v>
      </c>
      <c r="F12" s="44">
        <v>11254</v>
      </c>
      <c r="H12" s="44">
        <v>6816</v>
      </c>
      <c r="J12" s="62">
        <v>0</v>
      </c>
    </row>
    <row r="13" spans="1:12" x14ac:dyDescent="0.25">
      <c r="J13" s="62"/>
    </row>
    <row r="14" spans="1:12" x14ac:dyDescent="0.25">
      <c r="J14" s="62"/>
    </row>
    <row r="15" spans="1:12" x14ac:dyDescent="0.25">
      <c r="J15" s="62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firstPageNumber="14" orientation="landscape" useFirstPageNumber="1" r:id="rId1"/>
  <headerFoot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Budget oversigt</vt:lpstr>
      <vt:lpstr>Indtægter</vt:lpstr>
      <vt:lpstr>Kontingent</vt:lpstr>
      <vt:lpstr>Medlemstal</vt:lpstr>
      <vt:lpstr>Lønomkostninger</vt:lpstr>
      <vt:lpstr>Møder-, kursusudgifter</vt:lpstr>
      <vt:lpstr>Adm.omk.</vt:lpstr>
      <vt:lpstr>Ejendomsudg.</vt:lpstr>
      <vt:lpstr>Finansielle poster</vt:lpstr>
      <vt:lpstr>Løn m.m. 2026</vt:lpstr>
      <vt:lpstr>Skat</vt:lpstr>
      <vt:lpstr>Skat II</vt:lpstr>
    </vt:vector>
  </TitlesOfParts>
  <Company>FOA - Fag og Arbejde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Gjerulff Tollund</dc:creator>
  <cp:lastModifiedBy>Sara Borup</cp:lastModifiedBy>
  <cp:lastPrinted>2024-09-25T07:55:02Z</cp:lastPrinted>
  <dcterms:created xsi:type="dcterms:W3CDTF">2016-08-29T11:59:19Z</dcterms:created>
  <dcterms:modified xsi:type="dcterms:W3CDTF">2025-11-05T07:28:19Z</dcterms:modified>
</cp:coreProperties>
</file>